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ucirvine-my.sharepoint.com/personal/judym_ad_uci_edu/Documents/Desktop/"/>
    </mc:Choice>
  </mc:AlternateContent>
  <xr:revisionPtr revIDLastSave="14" documentId="8_{94F653D6-7F28-4013-BADF-E78AE4634637}" xr6:coauthVersionLast="47" xr6:coauthVersionMax="47" xr10:uidLastSave="{7406A633-3C7E-41D3-8D72-A8B18B1C63F7}"/>
  <bookViews>
    <workbookView xWindow="-120" yWindow="-120" windowWidth="29040" windowHeight="15720" xr2:uid="{00000000-000D-0000-FFFF-FFFF00000000}"/>
  </bookViews>
  <sheets>
    <sheet name="Per Unit Rate Calculations" sheetId="9" r:id="rId1"/>
    <sheet name="Depreciation" sheetId="11" r:id="rId2"/>
    <sheet name="Per Hour Rate Calculations" sheetId="10" r:id="rId3"/>
    <sheet name="Mark-up" sheetId="12" r:id="rId4"/>
    <sheet name="Statement of Operations" sheetId="6" r:id="rId5"/>
  </sheets>
  <externalReferences>
    <externalReference r:id="rId6"/>
  </externalReferences>
  <definedNames>
    <definedName name="Deficit__Surplus" localSheetId="1">[1]LABOR!$B$25</definedName>
    <definedName name="Deficit__Surplus">[1]LABOR!$B$25</definedName>
    <definedName name="depre_98_99" localSheetId="1">[1]DEPREC!$AC$55</definedName>
    <definedName name="depre_98_99">[1]DEPREC!$AC$55</definedName>
    <definedName name="_xlnm.Print_Area" localSheetId="1">Depreciation!$A$1:$K$23</definedName>
    <definedName name="_xlnm.Print_Area" localSheetId="3">'Mark-up'!$A$1:$H$36</definedName>
    <definedName name="_xlnm.Print_Area" localSheetId="2">'Per Hour Rate Calculations'!$A$1:$N$38</definedName>
    <definedName name="_xlnm.Print_Area" localSheetId="0">'Per Unit Rate Calculations'!$A$1:$I$38</definedName>
    <definedName name="_xlnm.Print_Area" localSheetId="4">'Statement of Operations'!$A$1:$I$59</definedName>
    <definedName name="_xlnm.Print_Titles" localSheetId="1">Depreciation!$A:$B,Depreciation!$1:$8</definedName>
    <definedName name="time_period" localSheetId="1">[1]LABOR!$A$36</definedName>
    <definedName name="time_period">[1]LABOR!$A$36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7" i="10" l="1"/>
  <c r="B53" i="6"/>
  <c r="D53" i="6"/>
  <c r="C53" i="6"/>
  <c r="E9" i="6"/>
  <c r="E53" i="6" l="1"/>
  <c r="B3" i="12"/>
  <c r="B2" i="12"/>
  <c r="H31" i="12"/>
  <c r="C14" i="12"/>
  <c r="E13" i="12"/>
  <c r="G13" i="12" s="1"/>
  <c r="H13" i="12" s="1"/>
  <c r="E12" i="12"/>
  <c r="G12" i="12" s="1"/>
  <c r="E11" i="12"/>
  <c r="E10" i="12"/>
  <c r="E14" i="12" l="1"/>
  <c r="H21" i="12"/>
  <c r="H12" i="12"/>
  <c r="G11" i="12"/>
  <c r="H11" i="12" s="1"/>
  <c r="G10" i="12"/>
  <c r="B3" i="6"/>
  <c r="B4" i="6"/>
  <c r="C4" i="11"/>
  <c r="B4" i="10"/>
  <c r="C3" i="11"/>
  <c r="H37" i="9"/>
  <c r="B3" i="10"/>
  <c r="G14" i="12" l="1"/>
  <c r="H10" i="12"/>
  <c r="H14" i="12" s="1"/>
  <c r="H25" i="12" s="1"/>
  <c r="H33" i="12" s="1"/>
  <c r="H34" i="12" s="1"/>
  <c r="F11" i="6"/>
  <c r="F10" i="6"/>
  <c r="D11" i="6"/>
  <c r="C11" i="6" s="1"/>
  <c r="D10" i="6"/>
  <c r="C10" i="6" s="1"/>
  <c r="C9" i="6"/>
  <c r="E14" i="10" l="1"/>
  <c r="E13" i="10"/>
  <c r="E12" i="10"/>
  <c r="G12" i="10" s="1"/>
  <c r="E11" i="10"/>
  <c r="E15" i="10" s="1"/>
  <c r="E14" i="9"/>
  <c r="E13" i="9"/>
  <c r="E12" i="9"/>
  <c r="G12" i="9" s="1"/>
  <c r="E11" i="9"/>
  <c r="A18" i="10"/>
  <c r="D14" i="11"/>
  <c r="C44" i="6"/>
  <c r="E44" i="6" s="1"/>
  <c r="A44" i="6"/>
  <c r="A45" i="6"/>
  <c r="I11" i="11"/>
  <c r="I10" i="11"/>
  <c r="K10" i="11" s="1"/>
  <c r="A17" i="10"/>
  <c r="A12" i="10"/>
  <c r="B12" i="10"/>
  <c r="A13" i="10"/>
  <c r="B13" i="10"/>
  <c r="A14" i="10"/>
  <c r="B14" i="10"/>
  <c r="B11" i="10"/>
  <c r="A11" i="10"/>
  <c r="A43" i="6"/>
  <c r="D49" i="6"/>
  <c r="C49" i="6"/>
  <c r="E49" i="6" s="1"/>
  <c r="A39" i="6"/>
  <c r="B39" i="6"/>
  <c r="A38" i="6"/>
  <c r="B38" i="6"/>
  <c r="C15" i="10"/>
  <c r="H17" i="10" s="1"/>
  <c r="C15" i="9"/>
  <c r="H17" i="9" s="1"/>
  <c r="C43" i="6" s="1"/>
  <c r="D29" i="6"/>
  <c r="D22" i="6"/>
  <c r="D23" i="6"/>
  <c r="D24" i="6"/>
  <c r="D21" i="6"/>
  <c r="D20" i="6"/>
  <c r="C24" i="6"/>
  <c r="B24" i="6"/>
  <c r="A24" i="6"/>
  <c r="C23" i="6"/>
  <c r="B23" i="6"/>
  <c r="A23" i="6"/>
  <c r="L12" i="10"/>
  <c r="K12" i="10"/>
  <c r="J12" i="10"/>
  <c r="I12" i="10"/>
  <c r="L14" i="10"/>
  <c r="L13" i="10"/>
  <c r="K14" i="10"/>
  <c r="K13" i="10"/>
  <c r="J14" i="10"/>
  <c r="J13" i="10"/>
  <c r="I14" i="10"/>
  <c r="M14" i="10" s="1"/>
  <c r="I13" i="10"/>
  <c r="M13" i="10" s="1"/>
  <c r="L11" i="10"/>
  <c r="K11" i="10"/>
  <c r="J11" i="10"/>
  <c r="I11" i="10"/>
  <c r="B37" i="6"/>
  <c r="B36" i="6"/>
  <c r="A37" i="6"/>
  <c r="A36" i="6"/>
  <c r="C22" i="6"/>
  <c r="C21" i="6"/>
  <c r="C29" i="6"/>
  <c r="C20" i="6"/>
  <c r="B22" i="6"/>
  <c r="B21" i="6"/>
  <c r="A22" i="6"/>
  <c r="A21" i="6"/>
  <c r="I14" i="11" l="1"/>
  <c r="M12" i="10"/>
  <c r="N12" i="10" s="1"/>
  <c r="M11" i="10"/>
  <c r="N11" i="10" s="1"/>
  <c r="E22" i="6"/>
  <c r="K11" i="11"/>
  <c r="E24" i="6"/>
  <c r="E21" i="6"/>
  <c r="D43" i="6"/>
  <c r="D47" i="6" s="1"/>
  <c r="H21" i="10"/>
  <c r="H12" i="10"/>
  <c r="D37" i="6" s="1"/>
  <c r="N13" i="10"/>
  <c r="E23" i="6"/>
  <c r="H12" i="9"/>
  <c r="C37" i="6" s="1"/>
  <c r="E15" i="9"/>
  <c r="N14" i="10"/>
  <c r="G13" i="9"/>
  <c r="H13" i="9" s="1"/>
  <c r="C38" i="6" s="1"/>
  <c r="G13" i="10"/>
  <c r="H13" i="10" s="1"/>
  <c r="D38" i="6" s="1"/>
  <c r="G14" i="9"/>
  <c r="H14" i="9" s="1"/>
  <c r="C39" i="6" s="1"/>
  <c r="G14" i="10"/>
  <c r="H14" i="10" s="1"/>
  <c r="D39" i="6" s="1"/>
  <c r="K14" i="11"/>
  <c r="H19" i="9" s="1"/>
  <c r="G11" i="9"/>
  <c r="H11" i="9" s="1"/>
  <c r="G11" i="10"/>
  <c r="G15" i="10" s="1"/>
  <c r="E43" i="6" l="1"/>
  <c r="E37" i="6"/>
  <c r="E39" i="6"/>
  <c r="H11" i="10"/>
  <c r="H15" i="10" s="1"/>
  <c r="H25" i="10" s="1"/>
  <c r="E38" i="6"/>
  <c r="C36" i="6"/>
  <c r="H15" i="9"/>
  <c r="N15" i="10"/>
  <c r="H32" i="10" s="1"/>
  <c r="E11" i="6" s="1"/>
  <c r="G15" i="9"/>
  <c r="H29" i="10" l="1"/>
  <c r="H34" i="10" s="1"/>
  <c r="E12" i="6" s="1"/>
  <c r="H36" i="10"/>
  <c r="E13" i="6" s="1"/>
  <c r="D32" i="6" s="1"/>
  <c r="D56" i="6" s="1"/>
  <c r="E10" i="6"/>
  <c r="D36" i="6"/>
  <c r="D40" i="6" s="1"/>
  <c r="D51" i="6" s="1"/>
  <c r="D54" i="6" s="1"/>
  <c r="C40" i="6"/>
  <c r="C45" i="6"/>
  <c r="E45" i="6" s="1"/>
  <c r="E47" i="6" s="1"/>
  <c r="H21" i="9"/>
  <c r="H25" i="9" s="1"/>
  <c r="H36" i="9" l="1"/>
  <c r="C13" i="6" s="1"/>
  <c r="C32" i="6" s="1"/>
  <c r="C56" i="6" s="1"/>
  <c r="H29" i="9"/>
  <c r="H34" i="9" s="1"/>
  <c r="C12" i="6" s="1"/>
  <c r="C31" i="6" s="1"/>
  <c r="E36" i="6"/>
  <c r="D31" i="6"/>
  <c r="E40" i="6"/>
  <c r="E51" i="6" s="1"/>
  <c r="C47" i="6"/>
  <c r="C51" i="6" s="1"/>
  <c r="C54" i="6" s="1"/>
  <c r="E54" i="6" s="1"/>
  <c r="E56" i="6" l="1"/>
  <c r="D33" i="6"/>
  <c r="D58" i="6" s="1"/>
  <c r="E32" i="6"/>
  <c r="C33" i="6"/>
  <c r="C58" i="6" s="1"/>
  <c r="E58" i="6" s="1"/>
  <c r="E31" i="6"/>
  <c r="E33" i="6" l="1"/>
</calcChain>
</file>

<file path=xl/sharedStrings.xml><?xml version="1.0" encoding="utf-8"?>
<sst xmlns="http://schemas.openxmlformats.org/spreadsheetml/2006/main" count="301" uniqueCount="202">
  <si>
    <t>Total</t>
  </si>
  <si>
    <t>Cost of Operation:</t>
  </si>
  <si>
    <t>Staff</t>
  </si>
  <si>
    <t>% Effort</t>
  </si>
  <si>
    <t>Current Salary</t>
  </si>
  <si>
    <t>Salary Expense</t>
  </si>
  <si>
    <t>% Benefits</t>
  </si>
  <si>
    <t>Benefit Expense</t>
  </si>
  <si>
    <t>Total Recharge Expense</t>
  </si>
  <si>
    <t>A</t>
  </si>
  <si>
    <t>B</t>
  </si>
  <si>
    <t>C</t>
  </si>
  <si>
    <t>D</t>
  </si>
  <si>
    <t>E</t>
  </si>
  <si>
    <t>F</t>
  </si>
  <si>
    <t>A * B</t>
  </si>
  <si>
    <t>C * D</t>
  </si>
  <si>
    <t>C + E</t>
  </si>
  <si>
    <t>Total Personnel</t>
  </si>
  <si>
    <t>Total S&amp;E</t>
  </si>
  <si>
    <t>Total projected expenses to be recovered</t>
  </si>
  <si>
    <t>Summary</t>
  </si>
  <si>
    <t>Proposed Pricing</t>
  </si>
  <si>
    <t>Distribution of Effort</t>
  </si>
  <si>
    <t>Acad/Staff</t>
  </si>
  <si>
    <t>Role</t>
  </si>
  <si>
    <t>Salaries &amp; Benefits</t>
  </si>
  <si>
    <t>Supplies &amp; Other</t>
  </si>
  <si>
    <t>Total Supplies &amp; Other</t>
  </si>
  <si>
    <t>Total Expenses</t>
  </si>
  <si>
    <t>Net Profit (Loss)</t>
  </si>
  <si>
    <t>Services</t>
  </si>
  <si>
    <t>Profit/Loss Statement</t>
  </si>
  <si>
    <t>Estimated No. Billable Units- UC User</t>
  </si>
  <si>
    <t>Estimated No. Billable Units- Non UC User</t>
  </si>
  <si>
    <t>Revenue- Non-UC User</t>
  </si>
  <si>
    <t>Differential Income Transfer</t>
  </si>
  <si>
    <t>Adjustment for Prior Year Deficit or Surplus</t>
  </si>
  <si>
    <t>Adj for Prior Yr Deficit or Surplus</t>
  </si>
  <si>
    <t>Name</t>
  </si>
  <si>
    <t>differential income transfer percentage</t>
  </si>
  <si>
    <t>Recharge Income-UC User</t>
  </si>
  <si>
    <t>Total Income</t>
  </si>
  <si>
    <t>Income</t>
  </si>
  <si>
    <t>Proposed Rate (UC Users)</t>
  </si>
  <si>
    <t>Proposed Rate (Non-UC Users)*</t>
  </si>
  <si>
    <t xml:space="preserve">*Non-UC Users Hourly Rate includes the current approved </t>
  </si>
  <si>
    <t>Total Working Hours</t>
  </si>
  <si>
    <t>Less Holiday</t>
  </si>
  <si>
    <t>Less Vacation</t>
  </si>
  <si>
    <t>Less Sick Leave</t>
  </si>
  <si>
    <t>Total Productive Hours</t>
  </si>
  <si>
    <t>Less Non-ProductiveHours</t>
  </si>
  <si>
    <t>Billable Units: # of Productive Hours</t>
  </si>
  <si>
    <t>Adjustment for Prior Year Deficit or (Surplus)</t>
  </si>
  <si>
    <t>Office Supplies</t>
  </si>
  <si>
    <t>Lab Supplies</t>
  </si>
  <si>
    <t>UCID</t>
  </si>
  <si>
    <t>P.O</t>
  </si>
  <si>
    <t>dep/yr</t>
  </si>
  <si>
    <t>10xxxxxx</t>
  </si>
  <si>
    <t>19900A</t>
  </si>
  <si>
    <t>Equipment Depreciation</t>
  </si>
  <si>
    <t>Custody</t>
  </si>
  <si>
    <t>Code</t>
  </si>
  <si>
    <t>machine a</t>
  </si>
  <si>
    <t>machine b</t>
  </si>
  <si>
    <t>1234567</t>
  </si>
  <si>
    <t>2234567</t>
  </si>
  <si>
    <t>56789A</t>
  </si>
  <si>
    <t>Acquisition</t>
  </si>
  <si>
    <t>Depreciation</t>
  </si>
  <si>
    <t>Useful</t>
  </si>
  <si>
    <t>Fund</t>
  </si>
  <si>
    <t>Date</t>
  </si>
  <si>
    <t>Life</t>
  </si>
  <si>
    <t>Price</t>
  </si>
  <si>
    <t>Description</t>
  </si>
  <si>
    <t>NOTE:  Excel workbook contains formulas and links to the other worksheets; PLEASE DO NOT CHANGE FORMULAS</t>
  </si>
  <si>
    <t>Instructions</t>
  </si>
  <si>
    <t>1. At the Recharge Facility cell, fill out the name of the Recharge Facility and if applicable, include Fund Number.</t>
  </si>
  <si>
    <t>2. At the Rate Caculation cell, put in type of rate calculation (e.g., senior consultation, consulation)</t>
  </si>
  <si>
    <t>3.  Fill out the worksheet as row titles indicate.</t>
  </si>
  <si>
    <t xml:space="preserve">4.  Group employees of similar pay rates/functions, for the rate that is being calculated.  </t>
  </si>
  <si>
    <t>5.  Fill out % Effort based on the percentage effort of each person that will work on this rate.  Put in 0% for the other personnel not included in this rate.</t>
  </si>
  <si>
    <t>6.  Fill out the Current Salary based on the full annual salary of each individual at the university.</t>
  </si>
  <si>
    <t>7.  Recharge Salary Expense is a formula.  It multiplies % effort by the current salary to get the recharge salary expense.</t>
  </si>
  <si>
    <t xml:space="preserve">8.  Fill out % Benefits based on full benefits percentage of each individual at the university.  It should be based on historical, actual data, if available.  </t>
  </si>
  <si>
    <t xml:space="preserve">     If not available, contact HR for the standard current rate for benefits (currently, the standard benefits rate is 23%).  </t>
  </si>
  <si>
    <t>9.  Recharge Benefit Expense is a formula.  It multiplies % Benefis by Recharge Salary Expense to get the Recharge Benefit Expense.</t>
  </si>
  <si>
    <t>10.  In the Personnel Section, Total Recharge Expense is a formula.  It adds recharge salary expense with recharge benefit expense to get Total Payroll Recharge Expense.</t>
  </si>
  <si>
    <t>11.  Total Personnel is a formula.  It adds all the salaries and benefits cost of the employees for this rate.</t>
  </si>
  <si>
    <t>12. Total Working Hours is a formula.  It multiplies total working hours in a year for an employee which is 2088 hours by % Effort.</t>
  </si>
  <si>
    <t>13. Less Holiday is a formula.  It multiplies total holidays hours earned in a year (which currently is 13 holidays x 8 hours) by % Effort.</t>
  </si>
  <si>
    <t>14. Fill out vacation, sick, and non-productive hours based on historical, actual data, if available.  Determination of sick-leave usage and non-productive hours can be estimated</t>
  </si>
  <si>
    <t xml:space="preserve">      using past experience of the department as a guide.  Non-productive hours include break time and supervising.  Vacation hours earned varies by individual.</t>
  </si>
  <si>
    <t>16. If actual is not available, base sick hours on annual hours earned at time of hire (e.g., 8 hours per month multiplied by 12 months equals 96 sick hours earned in a year).</t>
  </si>
  <si>
    <t>17. If actual is not available, use an estimation that can be supported for non-productive hours.  (e.g. use half an hour for breaks per day , one hour of preparation time per day)</t>
  </si>
  <si>
    <t>18. Less Vacation is a formula.  It multiplies total vacation hours in a year by % Effort.</t>
  </si>
  <si>
    <t>19. Less Sick is a formula.  It multiplies total sick hours in a year by % Effort.</t>
  </si>
  <si>
    <t>20. Less Non-Productive Hours is a formula.  It multiplies total non-productive hours in a year by % Effort.</t>
  </si>
  <si>
    <t>21. Total Productive Hours is a formula.  It subtracts Less Holiday, Less Vacation, Less Sick, and Less Non-Productive Hours from Total Working Hours to equal Total Productive Hours.</t>
  </si>
  <si>
    <t>23. Total S&amp;E is a formula.  It adds up all the total supplies and expense costs for the recharge activity.  It does not include personnel costs.</t>
  </si>
  <si>
    <t>24. Adjustment for Prior Year Deficit or (Surplus) should be based on the deficit or surplus attritubed directly to this rate.  The amount should be based on the balance</t>
  </si>
  <si>
    <t xml:space="preserve">      in the month preceding the submital of the proposal or the previous fiscal year end.  A negative amount needs to be used for surpluses.</t>
  </si>
  <si>
    <t>25. Total projected expenses to be recovered is a formula.  It adds up total personnel, supplies and expense, and adjustment for prior year deficit or surplus costs.</t>
  </si>
  <si>
    <t>26. Billable Units is the number of total productive hours.</t>
  </si>
  <si>
    <t>27. The rate for UC users is calculated by dividing the total projected expenses to be recovered by the number of total productive hours.  You may wish to round the rate to whole numbers.</t>
  </si>
  <si>
    <t xml:space="preserve">      You may wish to round the rate to whole numbers.</t>
  </si>
  <si>
    <t>RATE CALCULATION BASED ON PRODUCTS OR SERVICES</t>
  </si>
  <si>
    <t>4.  Fill out % Effort based on the percentage effort of each person that will work on this rate.  Put in 0% for the other personnel not included in this rate.</t>
  </si>
  <si>
    <t>13. Equipment Depreciation, found in the operating costs section, is linked to the depreciation schedule worksheet.  Reference the appropriate year in the equipment depreciation schedule</t>
  </si>
  <si>
    <t xml:space="preserve">      to get the correct annual equipment depreciation expense.</t>
  </si>
  <si>
    <t>14. Total S&amp;E is a formula.  It adds up all the total supplies and expense costs for the recharge activity.  It does not include personnel costs.</t>
  </si>
  <si>
    <t>15. Adjustment for Prior Year Deficit or (Surplus) should be based on the deficit or surplus attritubed directly to this rate.  The amount should be based on the balance</t>
  </si>
  <si>
    <t>16. Total projected expenses to be recovered is a formula.  It adds up total personnel, supplies and expense, and adjustment for prior year deficit or surplus costs.</t>
  </si>
  <si>
    <t>17. Billable Units is the number of products or services (e.g., Number of Lab Tests) sold within a year for this rate.  Provide a description of the billable unit.</t>
  </si>
  <si>
    <t>18. The rate for UC users is calculated by dividing the total projected expenses to be recovered by the number of total billable units.  You may wish to round the rate to whole numbers.</t>
  </si>
  <si>
    <t>15. If actual is not available, base vacation hours on annual hours earned at time of hire (e.g. 10 hours per month multiplied by 12 months equals 120 vacation hours earned in a year).</t>
  </si>
  <si>
    <t xml:space="preserve">     Please note that the total percentage for each person for all rates combined should not exceed 100%.</t>
  </si>
  <si>
    <t>Scenario:  Profit and Loss Statement for Lab Tests and Consultation Produtive Hours</t>
  </si>
  <si>
    <t xml:space="preserve">     be used as an example for the Lab Tests and Consultation rates below.</t>
  </si>
  <si>
    <t xml:space="preserve">2.  Estimated No. Billable Units-UC User for Lab Tests is a formula.  It multiplies the percentage of UC Users </t>
  </si>
  <si>
    <t xml:space="preserve">      by the Total No. of Billable Units for the rate, Lab Tests.  To get the Total No. of Billable Units, please reference </t>
  </si>
  <si>
    <t xml:space="preserve">      the number from the Lab Tests Calculation Worksheet.</t>
  </si>
  <si>
    <t xml:space="preserve">3.  Estimated No. Billable Units-Non UC User for Lab Tests is a formula.  It multiplies the percentage of Non UC Users </t>
  </si>
  <si>
    <t>4.  Proposed Rate (UC Users) for Lab Tests comes from the Lab Tests Calculation Worksheet.</t>
  </si>
  <si>
    <t>5.  Proposed Rate (Non-UC Users) for Lab Tests comes from the Lab Tests Calculation Worksheet.</t>
  </si>
  <si>
    <t>6.  Distribution of Effort information for Lab Tests comes from the Lab Tests Calculation Worksheet.</t>
  </si>
  <si>
    <t>7.  Recharge-Income- UC User for Lab Tests is a formula.  It multiplies the Estimated No. Billable Units-UC Users</t>
  </si>
  <si>
    <t xml:space="preserve">     by the Proposed Rate (UC Users) for Lab Tests.</t>
  </si>
  <si>
    <t>8.  Revenue-Non UC User for Lab Tests is a formula.  It multiplies the Estimated No. Billable Units-Non UC Users</t>
  </si>
  <si>
    <t xml:space="preserve">     by the Proposed Rate (Non-UC Users) for Lab Tests.</t>
  </si>
  <si>
    <t>9.  Salary and Benefits information for Lab Tests comes from the Lab Tests Calculation Worksheet.</t>
  </si>
  <si>
    <t xml:space="preserve">10. Total Salaries and Benefits for Lab Tests is a formula.  It adds all the salaries and benefits cost of the employees </t>
  </si>
  <si>
    <t xml:space="preserve">      for the Lab Tests rate.</t>
  </si>
  <si>
    <t>12. Total Supplies and Other for Lab Tests is a formula.  It adds up all the supplies and other expenses for the Lab</t>
  </si>
  <si>
    <t xml:space="preserve">      Tests rate.</t>
  </si>
  <si>
    <t>13. Adj for Prior Year Deficit or (Surplus) for Lab Tests comes from the Lab Tests Calculation Worksheet.</t>
  </si>
  <si>
    <t>14. Total Expenses for Lab Tests is a formula.  It adds up Total Salaries and Benefits, Total Supplies and Other,</t>
  </si>
  <si>
    <t xml:space="preserve">      and Adj for Prior Year Deficit or (Surplus) for Lab Tests.</t>
  </si>
  <si>
    <t xml:space="preserve">16. Net Profit or (Loss) for Lab Tests is a formula.  Total Expenses and Differential Income Transfer for Lab Tests are </t>
  </si>
  <si>
    <t xml:space="preserve">      Subtracted from Total Income to get Net Profit or (Loss) for Lab Tests.</t>
  </si>
  <si>
    <t xml:space="preserve">       Tests comes from the Lab Tests Calculation Worksheet.</t>
  </si>
  <si>
    <t xml:space="preserve">     rate should equal 100%(e.g., 90% UC users and 10% non-UC users for Lab Tests).  The 90% UC users and 10% will </t>
  </si>
  <si>
    <t xml:space="preserve">1. Find out the percentage of UC users and non-UC users for each rate.  The total percentage for both types of users in each </t>
  </si>
  <si>
    <t xml:space="preserve">17.  Steps 1 through 16 will need to be followed for Consultation and any additional rates.  You will need to add additional </t>
  </si>
  <si>
    <t xml:space="preserve">      worksheet and its corresponding column in the Profit/Loss Statement.</t>
  </si>
  <si>
    <t xml:space="preserve">       columns for any other rates if you include more rates.  If you only have one rate, delete one of the consultation rates </t>
  </si>
  <si>
    <t>28. The rate for non-UC users is calculated by multiplying the rate for UC users by the approved differential income rate.  The standard minimum rates are at the SSA Overview webpage.</t>
  </si>
  <si>
    <t>19. The rate for non-UC users is calculated by multiplying the rate for UC users by the approved differential income rate.  The standard minimum rates are at the SSA Overview webpage.</t>
  </si>
  <si>
    <t>RATE CALCULATION BASED ON PRODUCTIVE HOURS AND DIFFERENT CLASSIFICATIONS (Pay groups)</t>
  </si>
  <si>
    <t>STATEMENT OF OPERATIONS</t>
  </si>
  <si>
    <t xml:space="preserve">15. Differential Income Transfer for Senior Consultation is a formula.  Revenue Non-UC user is divided by 1.XX (where XX is equal to the standard differential income rate) </t>
  </si>
  <si>
    <t xml:space="preserve">    equal to the standard differential income rate) and then multiplied by .XX (where XX is equal to the standard differential income rate) to get the Differential Income Transfer amount.</t>
  </si>
  <si>
    <t>18. Total Column- The total column adds up the percentages or amounts from all the rates to get the total amounts.</t>
  </si>
  <si>
    <t xml:space="preserve">12. Operating costs must be based on the costs of the recharge activity for the entire year </t>
  </si>
  <si>
    <t xml:space="preserve">22. Operating costs must be based on the costs of the recharge activity for the entire year </t>
  </si>
  <si>
    <t xml:space="preserve">11. Supplies and Other information for Lab </t>
  </si>
  <si>
    <t xml:space="preserve">     (In this example, the standard differential income rate is 29.6%)</t>
  </si>
  <si>
    <t>Rate:</t>
  </si>
  <si>
    <t>Estimated % of UC Users</t>
  </si>
  <si>
    <t>Estimated % of Non-UC Users</t>
  </si>
  <si>
    <t>Usage</t>
  </si>
  <si>
    <t>INSTRUCTIONS</t>
  </si>
  <si>
    <t>Rate Calculation Per Unit:</t>
  </si>
  <si>
    <t>Other Sponsored Activity Indirect Cost Rate:</t>
  </si>
  <si>
    <t>Rate Calculation Per Hour:</t>
  </si>
  <si>
    <t>[Enter Type of Labor (e.g. Consultation)]</t>
  </si>
  <si>
    <t>Billable Units (# of Units Expected to be Sold):</t>
  </si>
  <si>
    <t>Complete Cells with a yellow background</t>
  </si>
  <si>
    <t>Example:  Lab tests sold for a year</t>
  </si>
  <si>
    <t>Title (e.g. Director)</t>
  </si>
  <si>
    <t>Role/Title</t>
  </si>
  <si>
    <t>Title (e.g. SRA)</t>
  </si>
  <si>
    <t>Title (e.g. Stdnt Asst*)</t>
  </si>
  <si>
    <t>* Students working on recharge activities (both grad and undergrad) should only be hired into Student Assistant titles.  GSR is not an appropriate title.</t>
  </si>
  <si>
    <t>Example:  Productive Hours with Substantial Pay Differences</t>
  </si>
  <si>
    <t>Fiscal Year:</t>
  </si>
  <si>
    <t>EQUIPMENT DEPRECIATION</t>
  </si>
  <si>
    <t>Add additional rows above row 12 as needed.</t>
  </si>
  <si>
    <t xml:space="preserve">If an equipment is allotted to more than one recharge rate, please provide rationale </t>
  </si>
  <si>
    <t>Depreciation Amount may be less than acquisition price if benefit to recharge activities began after acquisition.</t>
  </si>
  <si>
    <r>
      <t xml:space="preserve">Amount </t>
    </r>
    <r>
      <rPr>
        <vertAlign val="superscript"/>
        <sz val="12"/>
        <rFont val="Times New Roman"/>
        <family val="1"/>
      </rPr>
      <t>1</t>
    </r>
  </si>
  <si>
    <t>Income/Recharge Facility:</t>
  </si>
  <si>
    <t>Proposed Recharge Rate (UC Users)</t>
  </si>
  <si>
    <t>Shrinkage</t>
  </si>
  <si>
    <t>Total Costs to Recover</t>
  </si>
  <si>
    <t>Projected Cost of Materials to be Resold</t>
  </si>
  <si>
    <t>Total Stock Purchases (including value of projected carryforward inventory)</t>
  </si>
  <si>
    <t>Estimated Inventory Credit</t>
  </si>
  <si>
    <t>Total Projected Cost of Matierlas to be sold</t>
  </si>
  <si>
    <t>Mark up Rate UCI</t>
  </si>
  <si>
    <t>Mark UP Rate Non-UCI</t>
  </si>
  <si>
    <t>Total UCI User Expenses to be recovered</t>
  </si>
  <si>
    <t>Subsidy (Account)</t>
  </si>
  <si>
    <t>GF11111</t>
  </si>
  <si>
    <t>Proposed Income Rate (Non-UC Users) (excluding Subsidy)</t>
  </si>
  <si>
    <t>Per Unit - Gizmo</t>
  </si>
  <si>
    <t>Consult Fashion</t>
  </si>
  <si>
    <t>Peter's Test Lab</t>
  </si>
  <si>
    <t>20xx-xx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</si>
</sst>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quot;$&quot;#,##0.00"/>
  </numFmts>
  <fonts count="17" x14ac:knownFonts="1">
    <font>
      <sz val="10"/>
      <name val="Arial"/>
    </font>
    <font>
      <sz val="10"/>
      <name val="Arial"/>
    </font>
    <font>
      <b/>
      <sz val="12"/>
      <name val="Arial"/>
      <family val="2"/>
    </font>
    <font>
      <b/>
      <sz val="10"/>
      <name val="Arial"/>
      <family val="2"/>
    </font>
    <font>
      <sz val="9"/>
      <name val="Arial"/>
      <family val="2"/>
    </font>
    <font>
      <sz val="10"/>
      <name val="Arial"/>
      <family val="2"/>
    </font>
    <font>
      <sz val="10"/>
      <name val="Arial"/>
      <family val="2"/>
    </font>
    <font>
      <b/>
      <sz val="12"/>
      <name val="Times New Roman"/>
      <family val="1"/>
    </font>
    <font>
      <sz val="12"/>
      <name val="Times New Roman"/>
      <family val="1"/>
    </font>
    <font>
      <b/>
      <u/>
      <sz val="12"/>
      <name val="Times New Roman"/>
      <family val="1"/>
    </font>
    <font>
      <b/>
      <i/>
      <u/>
      <sz val="12"/>
      <name val="Times New Roman"/>
      <family val="1"/>
    </font>
    <font>
      <i/>
      <sz val="12"/>
      <name val="Times New Roman"/>
      <family val="1"/>
    </font>
    <font>
      <i/>
      <vertAlign val="superscript"/>
      <sz val="12"/>
      <name val="Times New Roman"/>
      <family val="1"/>
    </font>
    <font>
      <b/>
      <i/>
      <sz val="12"/>
      <name val="Times New Roman"/>
      <family val="1"/>
    </font>
    <font>
      <u/>
      <sz val="12"/>
      <name val="Times New Roman"/>
      <family val="1"/>
    </font>
    <font>
      <sz val="12"/>
      <name val="Arial"/>
      <family val="2"/>
    </font>
    <font>
      <vertAlign val="superscript"/>
      <sz val="12"/>
      <name val="Times New Roman"/>
      <family val="1"/>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92D050"/>
        <bgColor indexed="64"/>
      </patternFill>
    </fill>
  </fills>
  <borders count="22">
    <border>
      <left/>
      <right/>
      <top/>
      <bottom/>
      <diagonal/>
    </border>
    <border>
      <left style="thin">
        <color indexed="64"/>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top/>
      <bottom style="double">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9" fontId="1"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204">
    <xf numFmtId="0" fontId="0" fillId="0" borderId="0" xfId="0"/>
    <xf numFmtId="0" fontId="2" fillId="0" borderId="0" xfId="0" applyFont="1"/>
    <xf numFmtId="0" fontId="3" fillId="0" borderId="0" xfId="0" applyFont="1" applyAlignment="1">
      <alignment horizontal="center" wrapText="1"/>
    </xf>
    <xf numFmtId="0" fontId="0" fillId="0" borderId="0" xfId="0" applyAlignment="1">
      <alignment horizontal="center" wrapText="1"/>
    </xf>
    <xf numFmtId="0" fontId="1" fillId="0" borderId="0" xfId="0" applyFont="1"/>
    <xf numFmtId="0" fontId="4" fillId="0" borderId="0" xfId="0" applyFont="1"/>
    <xf numFmtId="0" fontId="4" fillId="0" borderId="1" xfId="0" applyFont="1" applyBorder="1"/>
    <xf numFmtId="43" fontId="4" fillId="0" borderId="0" xfId="0" applyNumberFormat="1" applyFont="1"/>
    <xf numFmtId="165" fontId="4" fillId="0" borderId="0" xfId="0" applyNumberFormat="1" applyFont="1"/>
    <xf numFmtId="0" fontId="7" fillId="0" borderId="0" xfId="0" applyFont="1"/>
    <xf numFmtId="0" fontId="8" fillId="0" borderId="0" xfId="0" applyFont="1"/>
    <xf numFmtId="0" fontId="8" fillId="0" borderId="2" xfId="0" applyFont="1" applyBorder="1"/>
    <xf numFmtId="0" fontId="9" fillId="0" borderId="0" xfId="0" applyFont="1"/>
    <xf numFmtId="0" fontId="7" fillId="0" borderId="0" xfId="0" applyFont="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0" xfId="4" applyFont="1"/>
    <xf numFmtId="0" fontId="8" fillId="0" borderId="5" xfId="0" applyFont="1" applyBorder="1"/>
    <xf numFmtId="9" fontId="8" fillId="0" borderId="5" xfId="0" applyNumberFormat="1" applyFont="1" applyBorder="1"/>
    <xf numFmtId="165" fontId="8" fillId="0" borderId="5" xfId="1" applyNumberFormat="1" applyFont="1" applyBorder="1"/>
    <xf numFmtId="9" fontId="8" fillId="0" borderId="0" xfId="0" applyNumberFormat="1" applyFont="1"/>
    <xf numFmtId="165" fontId="8" fillId="0" borderId="0" xfId="1" applyNumberFormat="1" applyFont="1" applyBorder="1"/>
    <xf numFmtId="0" fontId="8" fillId="0" borderId="6" xfId="0" applyFont="1" applyBorder="1"/>
    <xf numFmtId="0" fontId="7" fillId="0" borderId="7" xfId="0" applyFont="1" applyBorder="1"/>
    <xf numFmtId="0" fontId="8" fillId="0" borderId="7" xfId="0" applyFont="1" applyBorder="1"/>
    <xf numFmtId="0" fontId="10" fillId="0" borderId="0" xfId="0" applyFont="1"/>
    <xf numFmtId="0" fontId="8" fillId="0" borderId="4" xfId="0" applyFont="1" applyBorder="1"/>
    <xf numFmtId="0" fontId="8" fillId="0" borderId="8" xfId="0" applyFont="1" applyBorder="1"/>
    <xf numFmtId="0" fontId="7" fillId="0" borderId="9" xfId="0" applyFont="1" applyBorder="1" applyAlignment="1">
      <alignment horizontal="center" wrapText="1"/>
    </xf>
    <xf numFmtId="0" fontId="7" fillId="0" borderId="10" xfId="0" applyFont="1" applyBorder="1"/>
    <xf numFmtId="0" fontId="7" fillId="0" borderId="8" xfId="0" applyFont="1" applyBorder="1"/>
    <xf numFmtId="0" fontId="7" fillId="0" borderId="11" xfId="0" applyFont="1" applyBorder="1"/>
    <xf numFmtId="0" fontId="8" fillId="0" borderId="12" xfId="0" applyFont="1" applyBorder="1"/>
    <xf numFmtId="42" fontId="7" fillId="0" borderId="9" xfId="2" applyNumberFormat="1" applyFont="1" applyBorder="1"/>
    <xf numFmtId="0" fontId="11" fillId="0" borderId="3" xfId="0" applyFont="1" applyBorder="1"/>
    <xf numFmtId="0" fontId="11" fillId="0" borderId="0" xfId="0" applyFont="1"/>
    <xf numFmtId="0" fontId="12" fillId="0" borderId="0" xfId="0" applyFont="1"/>
    <xf numFmtId="0" fontId="7" fillId="0" borderId="4" xfId="0" applyFont="1" applyBorder="1" applyAlignment="1">
      <alignment horizontal="center" wrapText="1"/>
    </xf>
    <xf numFmtId="0" fontId="7" fillId="0" borderId="4" xfId="0" applyFont="1" applyBorder="1" applyAlignment="1">
      <alignment horizontal="center"/>
    </xf>
    <xf numFmtId="0" fontId="7" fillId="0" borderId="13" xfId="0" applyFont="1" applyBorder="1" applyAlignment="1">
      <alignment horizontal="center" wrapText="1"/>
    </xf>
    <xf numFmtId="0" fontId="7" fillId="0" borderId="14" xfId="0" applyFont="1" applyBorder="1" applyAlignment="1">
      <alignment horizontal="center" wrapText="1"/>
    </xf>
    <xf numFmtId="0" fontId="7" fillId="0" borderId="15" xfId="0" applyFont="1" applyBorder="1" applyAlignment="1">
      <alignment horizontal="center" wrapText="1"/>
    </xf>
    <xf numFmtId="0" fontId="7" fillId="0" borderId="8" xfId="0" applyFont="1" applyBorder="1" applyAlignment="1">
      <alignment horizontal="center" wrapText="1"/>
    </xf>
    <xf numFmtId="0" fontId="8" fillId="0" borderId="11" xfId="0" applyFont="1" applyBorder="1"/>
    <xf numFmtId="0" fontId="8" fillId="0" borderId="9" xfId="0" applyFont="1" applyBorder="1"/>
    <xf numFmtId="9" fontId="8" fillId="0" borderId="9" xfId="6" applyFont="1" applyBorder="1" applyAlignment="1">
      <alignment horizontal="center"/>
    </xf>
    <xf numFmtId="0" fontId="8" fillId="0" borderId="16" xfId="0" applyFont="1" applyBorder="1"/>
    <xf numFmtId="0" fontId="10" fillId="0" borderId="3" xfId="0" applyFont="1" applyBorder="1"/>
    <xf numFmtId="0" fontId="10" fillId="0" borderId="1" xfId="0" applyFont="1" applyBorder="1"/>
    <xf numFmtId="0" fontId="9" fillId="0" borderId="1" xfId="0" applyFont="1" applyBorder="1"/>
    <xf numFmtId="0" fontId="10" fillId="0" borderId="13" xfId="0" applyFont="1" applyBorder="1"/>
    <xf numFmtId="0" fontId="8" fillId="0" borderId="17" xfId="0" applyFont="1" applyBorder="1"/>
    <xf numFmtId="0" fontId="8" fillId="0" borderId="1" xfId="0" applyFont="1" applyBorder="1"/>
    <xf numFmtId="0" fontId="13" fillId="0" borderId="1" xfId="0" applyFont="1" applyBorder="1" applyAlignment="1">
      <alignment horizontal="left"/>
    </xf>
    <xf numFmtId="0" fontId="11" fillId="0" borderId="0" xfId="0" applyFont="1" applyAlignment="1">
      <alignment horizontal="right"/>
    </xf>
    <xf numFmtId="0" fontId="11" fillId="0" borderId="1" xfId="0" applyFont="1" applyBorder="1" applyAlignment="1">
      <alignment horizontal="right"/>
    </xf>
    <xf numFmtId="0" fontId="7" fillId="0" borderId="1" xfId="0" applyFont="1" applyBorder="1"/>
    <xf numFmtId="165" fontId="7" fillId="0" borderId="9" xfId="0" quotePrefix="1" applyNumberFormat="1" applyFont="1" applyBorder="1" applyAlignment="1">
      <alignment horizontal="center"/>
    </xf>
    <xf numFmtId="0" fontId="11" fillId="0" borderId="12" xfId="0" applyFont="1" applyBorder="1" applyAlignment="1">
      <alignment horizontal="right"/>
    </xf>
    <xf numFmtId="0" fontId="7" fillId="0" borderId="12" xfId="0" applyFont="1" applyBorder="1"/>
    <xf numFmtId="0" fontId="7" fillId="0" borderId="11" xfId="0" applyFont="1" applyBorder="1" applyAlignment="1">
      <alignment horizontal="left"/>
    </xf>
    <xf numFmtId="0" fontId="7" fillId="0" borderId="18" xfId="0" applyFont="1" applyBorder="1"/>
    <xf numFmtId="0" fontId="7" fillId="0" borderId="19" xfId="0" applyFont="1" applyBorder="1"/>
    <xf numFmtId="0" fontId="8" fillId="0" borderId="1" xfId="0" applyFont="1" applyBorder="1" applyAlignment="1">
      <alignment horizontal="left"/>
    </xf>
    <xf numFmtId="0" fontId="8" fillId="0" borderId="17" xfId="0" applyFont="1" applyBorder="1" applyAlignment="1">
      <alignment horizontal="left"/>
    </xf>
    <xf numFmtId="0" fontId="0" fillId="0" borderId="4" xfId="0" applyBorder="1" applyAlignment="1">
      <alignment horizontal="center" wrapText="1"/>
    </xf>
    <xf numFmtId="0" fontId="8" fillId="0" borderId="5" xfId="4" applyFont="1" applyBorder="1"/>
    <xf numFmtId="1" fontId="8" fillId="0" borderId="5" xfId="0" applyNumberFormat="1" applyFont="1" applyBorder="1"/>
    <xf numFmtId="0" fontId="6" fillId="0" borderId="0" xfId="0" applyFont="1"/>
    <xf numFmtId="0" fontId="8" fillId="0" borderId="0" xfId="0" applyFont="1" applyAlignment="1">
      <alignment horizontal="centerContinuous"/>
    </xf>
    <xf numFmtId="0" fontId="8" fillId="0" borderId="0" xfId="0" applyFont="1" applyAlignment="1">
      <alignment horizontal="left"/>
    </xf>
    <xf numFmtId="0" fontId="8" fillId="2" borderId="0" xfId="0" applyFont="1" applyFill="1" applyAlignment="1">
      <alignment horizontal="left"/>
    </xf>
    <xf numFmtId="0" fontId="8" fillId="0" borderId="0" xfId="4" applyFont="1" applyAlignment="1">
      <alignment horizontal="left"/>
    </xf>
    <xf numFmtId="0" fontId="5" fillId="0" borderId="0" xfId="0" applyFont="1"/>
    <xf numFmtId="164" fontId="8" fillId="0" borderId="20" xfId="1" applyNumberFormat="1" applyFont="1" applyFill="1" applyBorder="1" applyAlignment="1"/>
    <xf numFmtId="164" fontId="8" fillId="0" borderId="17" xfId="0" applyNumberFormat="1" applyFont="1" applyBorder="1"/>
    <xf numFmtId="164" fontId="8" fillId="0" borderId="15" xfId="1" applyNumberFormat="1" applyFont="1" applyFill="1" applyBorder="1" applyAlignment="1"/>
    <xf numFmtId="164" fontId="8" fillId="0" borderId="8" xfId="0" applyNumberFormat="1" applyFont="1" applyBorder="1"/>
    <xf numFmtId="164" fontId="7" fillId="0" borderId="9" xfId="1" applyNumberFormat="1" applyFont="1" applyFill="1" applyBorder="1" applyAlignment="1"/>
    <xf numFmtId="164" fontId="10" fillId="0" borderId="20" xfId="0" applyNumberFormat="1" applyFont="1" applyBorder="1"/>
    <xf numFmtId="164" fontId="7" fillId="0" borderId="20" xfId="0" applyNumberFormat="1" applyFont="1" applyBorder="1"/>
    <xf numFmtId="164" fontId="8" fillId="0" borderId="17" xfId="1" applyNumberFormat="1" applyFont="1" applyFill="1" applyBorder="1" applyAlignment="1"/>
    <xf numFmtId="164" fontId="8" fillId="0" borderId="20" xfId="1" applyNumberFormat="1" applyFont="1" applyBorder="1" applyAlignment="1"/>
    <xf numFmtId="164" fontId="7" fillId="0" borderId="9" xfId="0" applyNumberFormat="1" applyFont="1" applyBorder="1"/>
    <xf numFmtId="164" fontId="11" fillId="0" borderId="20" xfId="0" applyNumberFormat="1" applyFont="1" applyBorder="1"/>
    <xf numFmtId="164" fontId="7" fillId="0" borderId="17" xfId="0" applyNumberFormat="1" applyFont="1" applyBorder="1"/>
    <xf numFmtId="164" fontId="7" fillId="0" borderId="1" xfId="0" applyNumberFormat="1" applyFont="1" applyBorder="1"/>
    <xf numFmtId="164" fontId="7" fillId="0" borderId="0" xfId="0" applyNumberFormat="1" applyFont="1"/>
    <xf numFmtId="164" fontId="7" fillId="0" borderId="12" xfId="0" applyNumberFormat="1" applyFont="1" applyBorder="1"/>
    <xf numFmtId="164" fontId="8" fillId="0" borderId="1" xfId="0" applyNumberFormat="1" applyFont="1" applyBorder="1"/>
    <xf numFmtId="164" fontId="8" fillId="0" borderId="0" xfId="0" applyNumberFormat="1" applyFont="1"/>
    <xf numFmtId="164" fontId="7" fillId="0" borderId="11" xfId="0" applyNumberFormat="1" applyFont="1" applyBorder="1"/>
    <xf numFmtId="164" fontId="7" fillId="0" borderId="10" xfId="0" applyNumberFormat="1" applyFont="1" applyBorder="1"/>
    <xf numFmtId="164" fontId="7" fillId="0" borderId="4" xfId="0" applyNumberFormat="1" applyFont="1" applyBorder="1"/>
    <xf numFmtId="164" fontId="8" fillId="0" borderId="10" xfId="0" applyNumberFormat="1" applyFont="1" applyBorder="1"/>
    <xf numFmtId="164" fontId="8" fillId="0" borderId="4" xfId="0" applyNumberFormat="1" applyFont="1" applyBorder="1"/>
    <xf numFmtId="164" fontId="7" fillId="0" borderId="18" xfId="0" applyNumberFormat="1" applyFont="1" applyBorder="1"/>
    <xf numFmtId="5" fontId="8" fillId="0" borderId="5" xfId="1" applyNumberFormat="1" applyFont="1" applyBorder="1"/>
    <xf numFmtId="5" fontId="8" fillId="0" borderId="0" xfId="1" applyNumberFormat="1" applyFont="1"/>
    <xf numFmtId="164" fontId="8" fillId="0" borderId="0" xfId="1" applyNumberFormat="1" applyFont="1"/>
    <xf numFmtId="164" fontId="8" fillId="0" borderId="5" xfId="1" applyNumberFormat="1" applyFont="1" applyBorder="1"/>
    <xf numFmtId="164" fontId="8" fillId="0" borderId="0" xfId="1" applyNumberFormat="1" applyFont="1" applyBorder="1"/>
    <xf numFmtId="164" fontId="7" fillId="0" borderId="6" xfId="0" applyNumberFormat="1" applyFont="1" applyBorder="1"/>
    <xf numFmtId="164" fontId="7" fillId="0" borderId="7" xfId="1" applyNumberFormat="1" applyFont="1" applyBorder="1"/>
    <xf numFmtId="3" fontId="8" fillId="0" borderId="0" xfId="0" applyNumberFormat="1" applyFont="1"/>
    <xf numFmtId="1" fontId="8" fillId="0" borderId="0" xfId="1" applyNumberFormat="1" applyFont="1"/>
    <xf numFmtId="0" fontId="8" fillId="0" borderId="0" xfId="5" applyFont="1"/>
    <xf numFmtId="0" fontId="7" fillId="0" borderId="0" xfId="5" applyFont="1"/>
    <xf numFmtId="0" fontId="7" fillId="0" borderId="0" xfId="0" applyFont="1" applyAlignment="1">
      <alignment horizontal="right"/>
    </xf>
    <xf numFmtId="166" fontId="8" fillId="0" borderId="2" xfId="6" applyNumberFormat="1" applyFont="1" applyBorder="1"/>
    <xf numFmtId="0" fontId="7" fillId="0" borderId="2" xfId="0" applyFont="1" applyBorder="1" applyAlignment="1">
      <alignment horizontal="right"/>
    </xf>
    <xf numFmtId="9" fontId="7" fillId="0" borderId="9" xfId="6" quotePrefix="1" applyFont="1" applyBorder="1" applyAlignment="1">
      <alignment horizontal="center"/>
    </xf>
    <xf numFmtId="0" fontId="7" fillId="0" borderId="9" xfId="0" applyFont="1" applyBorder="1" applyAlignment="1">
      <alignment horizontal="center"/>
    </xf>
    <xf numFmtId="9" fontId="7" fillId="0" borderId="9" xfId="1" applyNumberFormat="1" applyFont="1" applyBorder="1"/>
    <xf numFmtId="0" fontId="7" fillId="0" borderId="9" xfId="0" applyFont="1" applyBorder="1"/>
    <xf numFmtId="0" fontId="14" fillId="0" borderId="0" xfId="0" applyFont="1"/>
    <xf numFmtId="0" fontId="15" fillId="0" borderId="0" xfId="0" applyFont="1"/>
    <xf numFmtId="0" fontId="15" fillId="0" borderId="0" xfId="0" applyFont="1" applyAlignment="1">
      <alignment horizontal="center" wrapText="1"/>
    </xf>
    <xf numFmtId="49" fontId="7" fillId="0" borderId="0" xfId="3" applyNumberFormat="1" applyFont="1"/>
    <xf numFmtId="0" fontId="7" fillId="0" borderId="0" xfId="0" applyFont="1" applyAlignment="1">
      <alignment horizontal="left"/>
    </xf>
    <xf numFmtId="0" fontId="0" fillId="3" borderId="0" xfId="0" applyFill="1"/>
    <xf numFmtId="0" fontId="8" fillId="3" borderId="5" xfId="4" applyFont="1" applyFill="1" applyBorder="1"/>
    <xf numFmtId="9" fontId="8" fillId="3" borderId="5" xfId="6" applyFont="1" applyFill="1" applyBorder="1"/>
    <xf numFmtId="5" fontId="8" fillId="3" borderId="5" xfId="1" applyNumberFormat="1" applyFont="1" applyFill="1" applyBorder="1"/>
    <xf numFmtId="0" fontId="8" fillId="3" borderId="0" xfId="4" applyFont="1" applyFill="1"/>
    <xf numFmtId="9" fontId="8" fillId="3" borderId="0" xfId="6" applyFont="1" applyFill="1"/>
    <xf numFmtId="5" fontId="8" fillId="3" borderId="0" xfId="1" applyNumberFormat="1" applyFont="1" applyFill="1"/>
    <xf numFmtId="0" fontId="8" fillId="3" borderId="11" xfId="4" applyFont="1" applyFill="1" applyBorder="1"/>
    <xf numFmtId="5" fontId="8" fillId="3" borderId="4" xfId="1" applyNumberFormat="1" applyFont="1" applyFill="1" applyBorder="1"/>
    <xf numFmtId="166" fontId="8" fillId="3" borderId="5" xfId="6" applyNumberFormat="1" applyFont="1" applyFill="1" applyBorder="1"/>
    <xf numFmtId="166" fontId="8" fillId="3" borderId="0" xfId="6" applyNumberFormat="1" applyFont="1" applyFill="1"/>
    <xf numFmtId="164" fontId="8" fillId="3" borderId="0" xfId="1" applyNumberFormat="1" applyFont="1" applyFill="1"/>
    <xf numFmtId="6" fontId="8" fillId="3" borderId="5" xfId="1" applyNumberFormat="1" applyFont="1" applyFill="1" applyBorder="1"/>
    <xf numFmtId="3" fontId="8" fillId="3" borderId="0" xfId="0" applyNumberFormat="1" applyFont="1" applyFill="1"/>
    <xf numFmtId="0" fontId="7" fillId="0" borderId="5" xfId="0" applyFont="1" applyBorder="1"/>
    <xf numFmtId="0" fontId="7" fillId="0" borderId="0" xfId="3" applyFont="1" applyAlignment="1">
      <alignment horizontal="center"/>
    </xf>
    <xf numFmtId="2" fontId="7" fillId="0" borderId="0" xfId="3" applyNumberFormat="1" applyFont="1" applyAlignment="1">
      <alignment horizontal="center"/>
    </xf>
    <xf numFmtId="0" fontId="8" fillId="0" borderId="0" xfId="3" applyFont="1"/>
    <xf numFmtId="49" fontId="8" fillId="0" borderId="0" xfId="3" applyNumberFormat="1" applyFont="1" applyAlignment="1">
      <alignment horizontal="center"/>
    </xf>
    <xf numFmtId="3" fontId="8" fillId="0" borderId="0" xfId="3" applyNumberFormat="1" applyFont="1"/>
    <xf numFmtId="0" fontId="8" fillId="0" borderId="0" xfId="3" applyFont="1" applyAlignment="1">
      <alignment horizontal="center"/>
    </xf>
    <xf numFmtId="49" fontId="7" fillId="0" borderId="0" xfId="3" applyNumberFormat="1" applyFont="1" applyAlignment="1">
      <alignment horizontal="center"/>
    </xf>
    <xf numFmtId="0" fontId="8" fillId="3" borderId="0" xfId="3" applyFont="1" applyFill="1"/>
    <xf numFmtId="49" fontId="8" fillId="3" borderId="0" xfId="3" quotePrefix="1" applyNumberFormat="1" applyFont="1" applyFill="1" applyAlignment="1">
      <alignment horizontal="center"/>
    </xf>
    <xf numFmtId="164" fontId="8" fillId="3" borderId="0" xfId="3" applyNumberFormat="1" applyFont="1" applyFill="1"/>
    <xf numFmtId="0" fontId="8" fillId="3" borderId="0" xfId="3" applyFont="1" applyFill="1" applyAlignment="1">
      <alignment horizontal="center"/>
    </xf>
    <xf numFmtId="17" fontId="8" fillId="3" borderId="0" xfId="3" quotePrefix="1" applyNumberFormat="1" applyFont="1" applyFill="1" applyAlignment="1">
      <alignment horizontal="center"/>
    </xf>
    <xf numFmtId="164" fontId="8" fillId="0" borderId="0" xfId="3" applyNumberFormat="1" applyFont="1"/>
    <xf numFmtId="49" fontId="8" fillId="0" borderId="4" xfId="3" applyNumberFormat="1" applyFont="1" applyBorder="1" applyAlignment="1">
      <alignment horizontal="center"/>
    </xf>
    <xf numFmtId="164" fontId="8" fillId="0" borderId="4" xfId="3" applyNumberFormat="1" applyFont="1" applyBorder="1"/>
    <xf numFmtId="0" fontId="8" fillId="0" borderId="4" xfId="3" applyFont="1" applyBorder="1" applyAlignment="1">
      <alignment horizontal="center"/>
    </xf>
    <xf numFmtId="17" fontId="8" fillId="0" borderId="4" xfId="3" applyNumberFormat="1" applyFont="1" applyBorder="1" applyAlignment="1">
      <alignment horizontal="center"/>
    </xf>
    <xf numFmtId="17" fontId="8" fillId="0" borderId="0" xfId="3" applyNumberFormat="1" applyFont="1" applyAlignment="1">
      <alignment horizontal="center"/>
    </xf>
    <xf numFmtId="3" fontId="7" fillId="0" borderId="0" xfId="3" applyNumberFormat="1" applyFont="1" applyAlignment="1">
      <alignment horizontal="center"/>
    </xf>
    <xf numFmtId="0" fontId="16" fillId="0" borderId="0" xfId="3" applyFont="1" applyAlignment="1">
      <alignment horizontal="left"/>
    </xf>
    <xf numFmtId="3" fontId="8" fillId="3" borderId="0" xfId="3" applyNumberFormat="1" applyFont="1" applyFill="1" applyAlignment="1">
      <alignment horizontal="center"/>
    </xf>
    <xf numFmtId="3" fontId="8" fillId="0" borderId="4" xfId="3" applyNumberFormat="1" applyFont="1" applyBorder="1" applyAlignment="1">
      <alignment horizontal="center"/>
    </xf>
    <xf numFmtId="0" fontId="8" fillId="0" borderId="5" xfId="5" applyFont="1" applyBorder="1"/>
    <xf numFmtId="9" fontId="8" fillId="0" borderId="5" xfId="7" applyFont="1" applyBorder="1"/>
    <xf numFmtId="5" fontId="8" fillId="0" borderId="5" xfId="8" applyNumberFormat="1" applyFont="1" applyBorder="1"/>
    <xf numFmtId="9" fontId="8" fillId="0" borderId="0" xfId="7" applyFont="1"/>
    <xf numFmtId="5" fontId="8" fillId="0" borderId="0" xfId="8" applyNumberFormat="1" applyFont="1"/>
    <xf numFmtId="0" fontId="8" fillId="0" borderId="11" xfId="5" applyFont="1" applyBorder="1"/>
    <xf numFmtId="5" fontId="8" fillId="0" borderId="4" xfId="8" applyNumberFormat="1" applyFont="1" applyBorder="1"/>
    <xf numFmtId="165" fontId="8" fillId="0" borderId="0" xfId="8" applyNumberFormat="1" applyFont="1" applyBorder="1"/>
    <xf numFmtId="164" fontId="8" fillId="0" borderId="0" xfId="8" applyNumberFormat="1" applyFont="1"/>
    <xf numFmtId="0" fontId="7" fillId="0" borderId="6" xfId="0" applyFont="1" applyBorder="1"/>
    <xf numFmtId="0" fontId="7" fillId="0" borderId="3" xfId="0" applyFont="1" applyBorder="1"/>
    <xf numFmtId="164" fontId="8" fillId="0" borderId="0" xfId="8" applyNumberFormat="1" applyFont="1" applyFill="1"/>
    <xf numFmtId="5" fontId="8" fillId="0" borderId="5" xfId="8" applyNumberFormat="1" applyFont="1" applyFill="1" applyBorder="1"/>
    <xf numFmtId="9" fontId="8" fillId="0" borderId="5" xfId="7" applyFont="1" applyFill="1" applyBorder="1"/>
    <xf numFmtId="5" fontId="8" fillId="0" borderId="0" xfId="8" applyNumberFormat="1" applyFont="1" applyFill="1"/>
    <xf numFmtId="9" fontId="8" fillId="0" borderId="0" xfId="7" applyFont="1" applyFill="1"/>
    <xf numFmtId="165" fontId="8" fillId="0" borderId="5" xfId="8" applyNumberFormat="1" applyFont="1" applyFill="1" applyBorder="1"/>
    <xf numFmtId="165" fontId="8" fillId="0" borderId="0" xfId="8" applyNumberFormat="1" applyFont="1" applyFill="1" applyBorder="1"/>
    <xf numFmtId="164" fontId="8" fillId="0" borderId="5" xfId="8" applyNumberFormat="1" applyFont="1" applyFill="1" applyBorder="1"/>
    <xf numFmtId="164" fontId="8" fillId="0" borderId="0" xfId="8" applyNumberFormat="1" applyFont="1" applyFill="1" applyBorder="1"/>
    <xf numFmtId="6" fontId="8" fillId="0" borderId="5" xfId="8" applyNumberFormat="1" applyFont="1" applyFill="1" applyBorder="1"/>
    <xf numFmtId="164" fontId="7" fillId="0" borderId="3" xfId="0" applyNumberFormat="1" applyFont="1" applyBorder="1"/>
    <xf numFmtId="9" fontId="7" fillId="0" borderId="7" xfId="7" applyFont="1" applyFill="1" applyBorder="1"/>
    <xf numFmtId="9" fontId="3" fillId="0" borderId="0" xfId="6" applyFont="1" applyFill="1"/>
    <xf numFmtId="164" fontId="8" fillId="3" borderId="0" xfId="0" applyNumberFormat="1" applyFont="1" applyFill="1"/>
    <xf numFmtId="167" fontId="7" fillId="0" borderId="7" xfId="1" applyNumberFormat="1" applyFont="1" applyBorder="1"/>
    <xf numFmtId="0" fontId="8" fillId="3" borderId="9" xfId="0" applyFont="1" applyFill="1" applyBorder="1"/>
    <xf numFmtId="0" fontId="8" fillId="0" borderId="3" xfId="0" applyFont="1" applyBorder="1"/>
    <xf numFmtId="0" fontId="7" fillId="0" borderId="1" xfId="0" applyFont="1" applyBorder="1" applyAlignment="1">
      <alignment horizontal="left"/>
    </xf>
    <xf numFmtId="0" fontId="8" fillId="0" borderId="21" xfId="0" applyFont="1" applyBorder="1"/>
    <xf numFmtId="0" fontId="7" fillId="4" borderId="5" xfId="0" applyFont="1" applyFill="1" applyBorder="1"/>
    <xf numFmtId="164" fontId="7" fillId="4" borderId="11" xfId="0" applyNumberFormat="1" applyFont="1" applyFill="1" applyBorder="1"/>
    <xf numFmtId="164" fontId="7" fillId="4" borderId="5" xfId="0" applyNumberFormat="1" applyFont="1" applyFill="1" applyBorder="1"/>
    <xf numFmtId="164" fontId="7" fillId="4" borderId="12" xfId="0" applyNumberFormat="1" applyFont="1" applyFill="1" applyBorder="1"/>
    <xf numFmtId="0" fontId="8" fillId="4" borderId="16" xfId="0" applyFont="1" applyFill="1" applyBorder="1"/>
    <xf numFmtId="14" fontId="7" fillId="3" borderId="5" xfId="0" applyNumberFormat="1" applyFont="1" applyFill="1" applyBorder="1"/>
    <xf numFmtId="0" fontId="8" fillId="3" borderId="0" xfId="0" applyFont="1" applyFill="1" applyAlignment="1">
      <alignment horizontal="left"/>
    </xf>
    <xf numFmtId="0" fontId="7" fillId="3" borderId="4" xfId="0" applyFont="1" applyFill="1" applyBorder="1" applyAlignment="1">
      <alignment horizontal="left"/>
    </xf>
    <xf numFmtId="0" fontId="7" fillId="0" borderId="4" xfId="0" applyFont="1" applyBorder="1" applyAlignment="1">
      <alignment horizontal="left"/>
    </xf>
    <xf numFmtId="0" fontId="8" fillId="0" borderId="0" xfId="0" applyFont="1" applyAlignment="1">
      <alignment horizontal="left" vertical="center"/>
    </xf>
    <xf numFmtId="0" fontId="7" fillId="0" borderId="11" xfId="0" applyFont="1" applyBorder="1" applyAlignment="1">
      <alignment horizontal="center" wrapText="1"/>
    </xf>
    <xf numFmtId="0" fontId="7" fillId="0" borderId="5" xfId="0" applyFont="1" applyBorder="1" applyAlignment="1">
      <alignment horizontal="center" wrapText="1"/>
    </xf>
    <xf numFmtId="0" fontId="8" fillId="0" borderId="1" xfId="0" applyFont="1" applyBorder="1" applyAlignment="1">
      <alignment horizontal="left"/>
    </xf>
    <xf numFmtId="0" fontId="8" fillId="0" borderId="17" xfId="0" applyFont="1" applyBorder="1" applyAlignment="1">
      <alignment horizontal="left"/>
    </xf>
    <xf numFmtId="0" fontId="7" fillId="0" borderId="11" xfId="0" applyFont="1" applyBorder="1" applyAlignment="1">
      <alignment horizontal="center"/>
    </xf>
    <xf numFmtId="0" fontId="7" fillId="0" borderId="12" xfId="0" applyFont="1" applyBorder="1" applyAlignment="1">
      <alignment horizontal="center"/>
    </xf>
    <xf numFmtId="0" fontId="7" fillId="0" borderId="12" xfId="0" applyFont="1" applyBorder="1" applyAlignment="1">
      <alignment horizontal="center" wrapText="1"/>
    </xf>
  </cellXfs>
  <cellStyles count="9">
    <cellStyle name="Comma" xfId="1" builtinId="3"/>
    <cellStyle name="Comma 2" xfId="8" xr:uid="{00000000-0005-0000-0000-000001000000}"/>
    <cellStyle name="Currency" xfId="2" builtinId="4"/>
    <cellStyle name="Normal" xfId="0" builtinId="0"/>
    <cellStyle name="Normal 2" xfId="3" xr:uid="{00000000-0005-0000-0000-000004000000}"/>
    <cellStyle name="Normal_Book2" xfId="4" xr:uid="{00000000-0005-0000-0000-000005000000}"/>
    <cellStyle name="Normal_Book2 2" xfId="5" xr:uid="{00000000-0005-0000-0000-000006000000}"/>
    <cellStyle name="Percent" xfId="6" builtinId="5"/>
    <cellStyle name="Percent 2" xfId="7" xr:uid="{00000000-0005-0000-0000-000008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m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OR"/>
      <sheetName val="MACH"/>
      <sheetName val="WORKSTATIONS"/>
      <sheetName val="DEPREC"/>
      <sheetName val="FY00"/>
      <sheetName val="FY01"/>
    </sheetNames>
    <sheetDataSet>
      <sheetData sheetId="0">
        <row r="25">
          <cell r="B25">
            <v>45878</v>
          </cell>
        </row>
        <row r="36">
          <cell r="A36" t="str">
            <v xml:space="preserve">  for the period 7/1/99 - 6/30/2000</v>
          </cell>
        </row>
      </sheetData>
      <sheetData sheetId="1"/>
      <sheetData sheetId="2"/>
      <sheetData sheetId="3">
        <row r="55">
          <cell r="AC55">
            <v>124971.97500000001</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abSelected="1" zoomScaleNormal="100" workbookViewId="0">
      <selection activeCell="E18" sqref="E18"/>
    </sheetView>
  </sheetViews>
  <sheetFormatPr defaultColWidth="8.85546875" defaultRowHeight="12.75" x14ac:dyDescent="0.2"/>
  <cols>
    <col min="1" max="1" width="26" customWidth="1"/>
    <col min="2" max="2" width="21" customWidth="1"/>
    <col min="3" max="8" width="11.42578125" customWidth="1"/>
  </cols>
  <sheetData>
    <row r="1" spans="1:14" ht="15.75" x14ac:dyDescent="0.25">
      <c r="A1" s="70" t="s">
        <v>109</v>
      </c>
    </row>
    <row r="2" spans="1:14" ht="15.75" x14ac:dyDescent="0.25">
      <c r="A2" s="70"/>
    </row>
    <row r="3" spans="1:14" ht="15.75" x14ac:dyDescent="0.25">
      <c r="A3" s="9" t="s">
        <v>184</v>
      </c>
      <c r="B3" s="194" t="s">
        <v>200</v>
      </c>
      <c r="C3" s="194"/>
      <c r="D3" s="194"/>
      <c r="E3" s="194"/>
      <c r="F3" s="10"/>
      <c r="G3" s="10"/>
      <c r="H3" s="10"/>
    </row>
    <row r="4" spans="1:14" ht="15.75" x14ac:dyDescent="0.25">
      <c r="A4" s="9" t="s">
        <v>178</v>
      </c>
      <c r="B4" s="192" t="s">
        <v>201</v>
      </c>
      <c r="C4" s="10"/>
      <c r="D4" s="10"/>
      <c r="E4" s="10"/>
      <c r="G4" s="10"/>
      <c r="H4" s="10"/>
      <c r="K4" s="115" t="s">
        <v>164</v>
      </c>
      <c r="M4" s="120"/>
      <c r="N4" s="70" t="s">
        <v>170</v>
      </c>
    </row>
    <row r="5" spans="1:14" ht="15.75" x14ac:dyDescent="0.25">
      <c r="B5" s="108" t="s">
        <v>165</v>
      </c>
      <c r="C5" s="193" t="s">
        <v>198</v>
      </c>
      <c r="D5" s="193"/>
      <c r="E5" s="193"/>
      <c r="F5" s="10"/>
      <c r="G5" s="10"/>
      <c r="H5" s="10"/>
      <c r="K5" s="70" t="s">
        <v>78</v>
      </c>
    </row>
    <row r="6" spans="1:14" ht="16.5" thickBot="1" x14ac:dyDescent="0.3">
      <c r="A6" s="11"/>
      <c r="B6" s="110" t="s">
        <v>166</v>
      </c>
      <c r="C6" s="109">
        <v>0.29799999999999999</v>
      </c>
      <c r="D6" s="11"/>
      <c r="E6" s="11"/>
      <c r="F6" s="11"/>
      <c r="G6" s="11"/>
      <c r="H6" s="11"/>
    </row>
    <row r="7" spans="1:14" ht="15.75" x14ac:dyDescent="0.25">
      <c r="A7" s="12" t="s">
        <v>1</v>
      </c>
      <c r="B7" s="12"/>
      <c r="C7" s="10"/>
      <c r="D7" s="10"/>
      <c r="E7" s="10"/>
      <c r="F7" s="10"/>
      <c r="G7" s="10"/>
      <c r="H7" s="10"/>
      <c r="K7" s="70" t="s">
        <v>171</v>
      </c>
    </row>
    <row r="8" spans="1:14" ht="47.25" x14ac:dyDescent="0.25">
      <c r="A8" s="13" t="s">
        <v>2</v>
      </c>
      <c r="B8" s="13" t="s">
        <v>173</v>
      </c>
      <c r="C8" s="13" t="s">
        <v>3</v>
      </c>
      <c r="D8" s="13" t="s">
        <v>4</v>
      </c>
      <c r="E8" s="13" t="s">
        <v>5</v>
      </c>
      <c r="F8" s="13" t="s">
        <v>6</v>
      </c>
      <c r="G8" s="13" t="s">
        <v>7</v>
      </c>
      <c r="H8" s="13" t="s">
        <v>8</v>
      </c>
    </row>
    <row r="9" spans="1:14" ht="15.75" x14ac:dyDescent="0.25">
      <c r="A9" s="14"/>
      <c r="B9" s="14"/>
      <c r="C9" s="14" t="s">
        <v>9</v>
      </c>
      <c r="D9" s="14" t="s">
        <v>10</v>
      </c>
      <c r="E9" s="14" t="s">
        <v>11</v>
      </c>
      <c r="F9" s="14" t="s">
        <v>12</v>
      </c>
      <c r="G9" s="14" t="s">
        <v>13</v>
      </c>
      <c r="H9" s="14" t="s">
        <v>14</v>
      </c>
      <c r="K9" s="70" t="s">
        <v>80</v>
      </c>
    </row>
    <row r="10" spans="1:14" ht="15.75" x14ac:dyDescent="0.25">
      <c r="A10" s="15"/>
      <c r="B10" s="15"/>
      <c r="C10" s="15"/>
      <c r="D10" s="15"/>
      <c r="E10" s="15" t="s">
        <v>15</v>
      </c>
      <c r="F10" s="15"/>
      <c r="G10" s="15" t="s">
        <v>16</v>
      </c>
      <c r="H10" s="15" t="s">
        <v>17</v>
      </c>
      <c r="K10" s="70" t="s">
        <v>81</v>
      </c>
    </row>
    <row r="11" spans="1:14" ht="15.75" x14ac:dyDescent="0.25">
      <c r="A11" s="121" t="s">
        <v>39</v>
      </c>
      <c r="B11" s="121" t="s">
        <v>172</v>
      </c>
      <c r="C11" s="122">
        <v>0.05</v>
      </c>
      <c r="D11" s="123">
        <v>101000</v>
      </c>
      <c r="E11" s="97">
        <f>C11*D11</f>
        <v>5050</v>
      </c>
      <c r="F11" s="129">
        <v>0.22</v>
      </c>
      <c r="G11" s="97">
        <f>E11*F11</f>
        <v>1111</v>
      </c>
      <c r="H11" s="97">
        <f>E11+G11</f>
        <v>6161</v>
      </c>
      <c r="K11" s="70" t="s">
        <v>82</v>
      </c>
    </row>
    <row r="12" spans="1:14" ht="15.75" x14ac:dyDescent="0.25">
      <c r="A12" s="124" t="s">
        <v>39</v>
      </c>
      <c r="B12" s="124" t="s">
        <v>174</v>
      </c>
      <c r="C12" s="125">
        <v>0.15</v>
      </c>
      <c r="D12" s="126">
        <v>75000</v>
      </c>
      <c r="E12" s="98">
        <f>C12*D12</f>
        <v>11250</v>
      </c>
      <c r="F12" s="130">
        <v>0.19</v>
      </c>
      <c r="G12" s="98">
        <f>E12*F12</f>
        <v>2137.5</v>
      </c>
      <c r="H12" s="98">
        <f>E12+G12</f>
        <v>13387.5</v>
      </c>
      <c r="K12" s="70" t="s">
        <v>110</v>
      </c>
    </row>
    <row r="13" spans="1:14" ht="15.75" x14ac:dyDescent="0.25">
      <c r="A13" s="127" t="s">
        <v>39</v>
      </c>
      <c r="B13" s="121" t="s">
        <v>175</v>
      </c>
      <c r="C13" s="122">
        <v>0.25</v>
      </c>
      <c r="D13" s="123">
        <v>20880</v>
      </c>
      <c r="E13" s="97">
        <f>C13*D13</f>
        <v>5220</v>
      </c>
      <c r="F13" s="129">
        <v>1.2999999999999999E-2</v>
      </c>
      <c r="G13" s="97">
        <f>E13*F13</f>
        <v>67.86</v>
      </c>
      <c r="H13" s="97">
        <f>E13+G13</f>
        <v>5287.86</v>
      </c>
      <c r="K13" s="70" t="s">
        <v>85</v>
      </c>
    </row>
    <row r="14" spans="1:14" ht="15.75" x14ac:dyDescent="0.25">
      <c r="A14" s="127" t="s">
        <v>39</v>
      </c>
      <c r="B14" s="121"/>
      <c r="C14" s="122"/>
      <c r="D14" s="128"/>
      <c r="E14" s="97">
        <f>C14*D14</f>
        <v>0</v>
      </c>
      <c r="F14" s="129"/>
      <c r="G14" s="97">
        <f>E14*F14</f>
        <v>0</v>
      </c>
      <c r="H14" s="97">
        <f>E14+G14</f>
        <v>0</v>
      </c>
      <c r="K14" s="70" t="s">
        <v>86</v>
      </c>
    </row>
    <row r="15" spans="1:14" ht="15.75" x14ac:dyDescent="0.25">
      <c r="A15" s="17" t="s">
        <v>18</v>
      </c>
      <c r="B15" s="17"/>
      <c r="C15" s="18">
        <f>SUM(C11:C14)</f>
        <v>0.45</v>
      </c>
      <c r="D15" s="97"/>
      <c r="E15" s="97">
        <f>SUM(E11:E14)</f>
        <v>21520</v>
      </c>
      <c r="F15" s="19"/>
      <c r="G15" s="97">
        <f>SUM(G11:G14)</f>
        <v>3316.36</v>
      </c>
      <c r="H15" s="97">
        <f>SUM(H11:H14)</f>
        <v>24836.36</v>
      </c>
      <c r="K15" s="70" t="s">
        <v>87</v>
      </c>
    </row>
    <row r="16" spans="1:14" ht="15.75" x14ac:dyDescent="0.25">
      <c r="A16" s="10"/>
      <c r="B16" s="10"/>
      <c r="C16" s="20"/>
      <c r="D16" s="21"/>
      <c r="E16" s="21"/>
      <c r="F16" s="21"/>
      <c r="G16" s="21"/>
      <c r="H16" s="21"/>
      <c r="K16" s="70" t="s">
        <v>88</v>
      </c>
    </row>
    <row r="17" spans="1:11" ht="15.75" x14ac:dyDescent="0.25">
      <c r="A17" s="10" t="s">
        <v>55</v>
      </c>
      <c r="B17" s="10"/>
      <c r="C17" s="10"/>
      <c r="D17" s="10"/>
      <c r="E17" s="10"/>
      <c r="F17" s="10"/>
      <c r="G17" s="10"/>
      <c r="H17" s="131">
        <f>500*C15</f>
        <v>225</v>
      </c>
      <c r="K17" s="70" t="s">
        <v>89</v>
      </c>
    </row>
    <row r="18" spans="1:11" ht="15.75" x14ac:dyDescent="0.25">
      <c r="A18" s="10" t="s">
        <v>56</v>
      </c>
      <c r="B18" s="10"/>
      <c r="C18" s="10"/>
      <c r="D18" s="10"/>
      <c r="E18" s="10"/>
      <c r="F18" s="10"/>
      <c r="G18" s="10"/>
      <c r="H18" s="131">
        <v>2500</v>
      </c>
      <c r="K18" s="70" t="s">
        <v>90</v>
      </c>
    </row>
    <row r="19" spans="1:11" ht="15.75" x14ac:dyDescent="0.25">
      <c r="A19" s="10" t="s">
        <v>62</v>
      </c>
      <c r="B19" s="10"/>
      <c r="C19" s="10"/>
      <c r="D19" s="10"/>
      <c r="E19" s="10"/>
      <c r="F19" s="10"/>
      <c r="G19" s="10"/>
      <c r="H19" s="131">
        <f>Depreciation!K14</f>
        <v>12500</v>
      </c>
      <c r="K19" s="70" t="s">
        <v>91</v>
      </c>
    </row>
    <row r="20" spans="1:11" ht="15.75" x14ac:dyDescent="0.25">
      <c r="A20" s="10"/>
      <c r="B20" s="10"/>
      <c r="C20" s="10"/>
      <c r="D20" s="10"/>
      <c r="E20" s="10"/>
      <c r="F20" s="10"/>
      <c r="G20" s="10"/>
      <c r="H20" s="99"/>
      <c r="K20" s="72" t="s">
        <v>156</v>
      </c>
    </row>
    <row r="21" spans="1:11" ht="15.75" x14ac:dyDescent="0.25">
      <c r="A21" s="17" t="s">
        <v>19</v>
      </c>
      <c r="B21" s="17"/>
      <c r="C21" s="17"/>
      <c r="D21" s="17"/>
      <c r="E21" s="17"/>
      <c r="F21" s="17"/>
      <c r="G21" s="17"/>
      <c r="H21" s="100">
        <f>SUM(H17:H20)</f>
        <v>15225</v>
      </c>
      <c r="K21" s="72" t="s">
        <v>111</v>
      </c>
    </row>
    <row r="22" spans="1:11" ht="15.75" x14ac:dyDescent="0.25">
      <c r="A22" s="10"/>
      <c r="B22" s="10"/>
      <c r="C22" s="10"/>
      <c r="D22" s="10"/>
      <c r="E22" s="10"/>
      <c r="F22" s="10"/>
      <c r="G22" s="10"/>
      <c r="H22" s="101"/>
      <c r="K22" s="72" t="s">
        <v>112</v>
      </c>
    </row>
    <row r="23" spans="1:11" ht="15.75" x14ac:dyDescent="0.25">
      <c r="A23" s="17" t="s">
        <v>54</v>
      </c>
      <c r="B23" s="17"/>
      <c r="C23" s="17"/>
      <c r="D23" s="17"/>
      <c r="E23" s="17"/>
      <c r="F23" s="17"/>
      <c r="G23" s="17"/>
      <c r="H23" s="132">
        <v>-1000</v>
      </c>
      <c r="K23" s="72" t="s">
        <v>113</v>
      </c>
    </row>
    <row r="24" spans="1:11" ht="15.75" x14ac:dyDescent="0.25">
      <c r="A24" s="10"/>
      <c r="B24" s="10"/>
      <c r="C24" s="10"/>
      <c r="D24" s="10"/>
      <c r="E24" s="10"/>
      <c r="F24" s="10"/>
      <c r="G24" s="10"/>
      <c r="H24" s="101"/>
      <c r="K24" s="72" t="s">
        <v>114</v>
      </c>
    </row>
    <row r="25" spans="1:11" ht="16.5" thickBot="1" x14ac:dyDescent="0.3">
      <c r="A25" s="22" t="s">
        <v>20</v>
      </c>
      <c r="B25" s="22"/>
      <c r="C25" s="22"/>
      <c r="D25" s="22"/>
      <c r="E25" s="22"/>
      <c r="F25" s="22"/>
      <c r="G25" s="22"/>
      <c r="H25" s="102">
        <f>SUM(H15,H21,H23)</f>
        <v>39061.360000000001</v>
      </c>
      <c r="K25" s="72" t="s">
        <v>104</v>
      </c>
    </row>
    <row r="26" spans="1:11" ht="16.5" thickTop="1" x14ac:dyDescent="0.25">
      <c r="A26" s="10"/>
      <c r="B26" s="10"/>
      <c r="C26" s="10"/>
      <c r="D26" s="10"/>
      <c r="E26" s="10"/>
      <c r="F26" s="10"/>
      <c r="G26" s="10"/>
      <c r="H26" s="90"/>
      <c r="K26" s="72" t="s">
        <v>115</v>
      </c>
    </row>
    <row r="27" spans="1:11" ht="15.75" x14ac:dyDescent="0.25">
      <c r="A27" s="10" t="s">
        <v>195</v>
      </c>
      <c r="B27" s="183" t="s">
        <v>196</v>
      </c>
      <c r="C27" s="10"/>
      <c r="D27" s="10"/>
      <c r="E27" s="10"/>
      <c r="F27" s="10"/>
      <c r="G27" s="10"/>
      <c r="H27" s="181">
        <v>10000</v>
      </c>
      <c r="K27" s="72"/>
    </row>
    <row r="28" spans="1:11" ht="15.75" x14ac:dyDescent="0.25">
      <c r="A28" s="10"/>
      <c r="B28" s="10"/>
      <c r="C28" s="10"/>
      <c r="D28" s="10"/>
      <c r="E28" s="10"/>
      <c r="F28" s="10"/>
      <c r="G28" s="10"/>
      <c r="H28" s="90"/>
      <c r="K28" s="72"/>
    </row>
    <row r="29" spans="1:11" ht="16.5" thickBot="1" x14ac:dyDescent="0.3">
      <c r="A29" s="22" t="s">
        <v>194</v>
      </c>
      <c r="B29" s="22"/>
      <c r="C29" s="22"/>
      <c r="D29" s="22"/>
      <c r="E29" s="22"/>
      <c r="F29" s="22"/>
      <c r="G29" s="22"/>
      <c r="H29" s="102">
        <f>H25-H27</f>
        <v>29061.360000000001</v>
      </c>
      <c r="K29" s="72"/>
    </row>
    <row r="30" spans="1:11" ht="16.5" thickTop="1" x14ac:dyDescent="0.25">
      <c r="A30" s="10"/>
      <c r="B30" s="10"/>
      <c r="C30" s="10"/>
      <c r="D30" s="10"/>
      <c r="E30" s="10"/>
      <c r="F30" s="10"/>
      <c r="G30" s="10"/>
      <c r="H30" s="90"/>
      <c r="K30" s="72"/>
    </row>
    <row r="31" spans="1:11" ht="15.75" x14ac:dyDescent="0.25">
      <c r="A31" s="10"/>
      <c r="B31" s="10"/>
      <c r="C31" s="10"/>
      <c r="D31" s="10"/>
      <c r="E31" s="10"/>
      <c r="F31" s="10"/>
      <c r="G31" s="10"/>
      <c r="H31" s="90"/>
      <c r="K31" s="72"/>
    </row>
    <row r="32" spans="1:11" ht="15.75" x14ac:dyDescent="0.25">
      <c r="A32" s="10" t="s">
        <v>169</v>
      </c>
      <c r="B32" s="10"/>
      <c r="C32" s="10"/>
      <c r="D32" s="10"/>
      <c r="E32" s="10"/>
      <c r="F32" s="10"/>
      <c r="G32" s="10"/>
      <c r="H32" s="133">
        <v>2000</v>
      </c>
      <c r="K32" s="72" t="s">
        <v>116</v>
      </c>
    </row>
    <row r="33" spans="1:11" ht="15.75" x14ac:dyDescent="0.25">
      <c r="A33" s="10"/>
      <c r="B33" s="10"/>
      <c r="C33" s="10"/>
      <c r="D33" s="10"/>
      <c r="E33" s="10"/>
      <c r="F33" s="10"/>
      <c r="G33" s="10"/>
      <c r="H33" s="90"/>
      <c r="K33" s="72" t="s">
        <v>117</v>
      </c>
    </row>
    <row r="34" spans="1:11" ht="16.5" thickBot="1" x14ac:dyDescent="0.3">
      <c r="A34" s="23" t="s">
        <v>185</v>
      </c>
      <c r="B34" s="23"/>
      <c r="C34" s="24"/>
      <c r="D34" s="24"/>
      <c r="E34" s="24"/>
      <c r="F34" s="24"/>
      <c r="G34" s="24"/>
      <c r="H34" s="182">
        <f>H29/H32</f>
        <v>14.53068</v>
      </c>
      <c r="K34" s="72" t="s">
        <v>150</v>
      </c>
    </row>
    <row r="35" spans="1:11" ht="15.75" x14ac:dyDescent="0.25">
      <c r="A35" s="9" t="s">
        <v>161</v>
      </c>
      <c r="B35" s="10"/>
      <c r="C35" s="10"/>
      <c r="D35" s="10"/>
      <c r="E35" s="10"/>
      <c r="F35" s="10"/>
      <c r="G35" s="10"/>
      <c r="H35" s="125">
        <v>0.8</v>
      </c>
      <c r="K35" s="72" t="s">
        <v>108</v>
      </c>
    </row>
    <row r="36" spans="1:11" ht="16.5" thickBot="1" x14ac:dyDescent="0.3">
      <c r="A36" s="23" t="s">
        <v>197</v>
      </c>
      <c r="B36" s="23"/>
      <c r="C36" s="23"/>
      <c r="D36" s="23"/>
      <c r="E36" s="23"/>
      <c r="F36" s="23"/>
      <c r="G36" s="23"/>
      <c r="H36" s="103">
        <f>(H25/H32)*(1+C6)</f>
        <v>25.350822640000001</v>
      </c>
    </row>
    <row r="37" spans="1:11" ht="15.75" x14ac:dyDescent="0.25">
      <c r="A37" s="9" t="s">
        <v>162</v>
      </c>
      <c r="H37" s="125">
        <f>1-H35</f>
        <v>0.19999999999999996</v>
      </c>
      <c r="K37" s="72" t="s">
        <v>176</v>
      </c>
    </row>
    <row r="40" spans="1:11" s="3" customFormat="1" x14ac:dyDescent="0.2">
      <c r="A40"/>
      <c r="B40"/>
      <c r="C40"/>
      <c r="D40"/>
      <c r="E40"/>
      <c r="F40"/>
      <c r="G40"/>
      <c r="H40"/>
    </row>
    <row r="41" spans="1:11" s="3" customFormat="1" x14ac:dyDescent="0.2">
      <c r="A41"/>
      <c r="B41"/>
      <c r="C41"/>
      <c r="D41"/>
      <c r="E41"/>
      <c r="F41"/>
      <c r="G41"/>
      <c r="H41"/>
    </row>
    <row r="42" spans="1:11" s="3" customFormat="1" x14ac:dyDescent="0.2">
      <c r="A42"/>
      <c r="B42"/>
      <c r="C42"/>
      <c r="D42"/>
      <c r="E42"/>
      <c r="F42"/>
      <c r="G42"/>
      <c r="H42"/>
    </row>
  </sheetData>
  <mergeCells count="2">
    <mergeCell ref="C5:E5"/>
    <mergeCell ref="B3:E3"/>
  </mergeCells>
  <phoneticPr fontId="0" type="noConversion"/>
  <pageMargins left="0.75" right="0.75" top="0.5" bottom="0.25" header="0.5" footer="0.5"/>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Normal="100" workbookViewId="0">
      <selection activeCell="C24" sqref="C24"/>
    </sheetView>
  </sheetViews>
  <sheetFormatPr defaultColWidth="9.140625" defaultRowHeight="15.75" x14ac:dyDescent="0.25"/>
  <cols>
    <col min="1" max="1" width="2.85546875" style="137" customWidth="1"/>
    <col min="2" max="2" width="31.85546875" style="137" customWidth="1"/>
    <col min="3" max="3" width="14.28515625" style="138" customWidth="1"/>
    <col min="4" max="4" width="14" style="139" customWidth="1"/>
    <col min="5" max="5" width="14.5703125" style="140" customWidth="1"/>
    <col min="6" max="6" width="11.7109375" style="140" customWidth="1"/>
    <col min="7" max="7" width="9.85546875" style="140" customWidth="1"/>
    <col min="8" max="8" width="13" style="140" customWidth="1"/>
    <col min="9" max="9" width="14.42578125" style="140" customWidth="1"/>
    <col min="10" max="10" width="8.140625" style="140" customWidth="1"/>
    <col min="11" max="11" width="11.5703125" style="140" customWidth="1"/>
    <col min="12" max="16384" width="9.140625" style="137"/>
  </cols>
  <sheetData>
    <row r="1" spans="1:12" x14ac:dyDescent="0.25">
      <c r="B1" s="70" t="s">
        <v>179</v>
      </c>
      <c r="E1" s="135"/>
      <c r="F1" s="136"/>
      <c r="G1" s="136"/>
    </row>
    <row r="2" spans="1:12" x14ac:dyDescent="0.25">
      <c r="B2" s="70"/>
      <c r="E2" s="135"/>
      <c r="F2" s="136"/>
      <c r="G2" s="136"/>
    </row>
    <row r="3" spans="1:12" x14ac:dyDescent="0.25">
      <c r="B3" s="9" t="s">
        <v>184</v>
      </c>
      <c r="C3" s="195" t="str">
        <f>IF('Per Unit Rate Calculations'!C2:F2="","",'Per Unit Rate Calculations'!C2:F2)</f>
        <v/>
      </c>
      <c r="D3" s="195"/>
      <c r="E3" s="195"/>
      <c r="F3" s="195"/>
      <c r="G3" s="136"/>
    </row>
    <row r="4" spans="1:12" x14ac:dyDescent="0.25">
      <c r="B4" s="107" t="s">
        <v>178</v>
      </c>
      <c r="C4" s="134" t="str">
        <f>IF('Per Unit Rate Calculations'!C4="","",'Per Unit Rate Calculations'!C4)</f>
        <v/>
      </c>
      <c r="E4" s="135"/>
    </row>
    <row r="5" spans="1:12" x14ac:dyDescent="0.25">
      <c r="B5" s="118"/>
      <c r="E5" s="135"/>
    </row>
    <row r="6" spans="1:12" x14ac:dyDescent="0.25">
      <c r="B6" s="118"/>
      <c r="E6" s="135"/>
      <c r="G6" s="135"/>
    </row>
    <row r="7" spans="1:12" x14ac:dyDescent="0.25">
      <c r="D7" s="153" t="s">
        <v>70</v>
      </c>
      <c r="G7" s="135" t="s">
        <v>63</v>
      </c>
      <c r="H7" s="135" t="s">
        <v>70</v>
      </c>
      <c r="I7" s="135" t="s">
        <v>71</v>
      </c>
      <c r="J7" s="135" t="s">
        <v>72</v>
      </c>
    </row>
    <row r="8" spans="1:12" s="135" customFormat="1" ht="18.75" x14ac:dyDescent="0.25">
      <c r="B8" s="135" t="s">
        <v>77</v>
      </c>
      <c r="C8" s="141" t="s">
        <v>57</v>
      </c>
      <c r="D8" s="135" t="s">
        <v>76</v>
      </c>
      <c r="E8" s="135" t="s">
        <v>58</v>
      </c>
      <c r="F8" s="135" t="s">
        <v>73</v>
      </c>
      <c r="G8" s="135" t="s">
        <v>64</v>
      </c>
      <c r="H8" s="135" t="s">
        <v>74</v>
      </c>
      <c r="I8" s="135" t="s">
        <v>183</v>
      </c>
      <c r="J8" s="135" t="s">
        <v>75</v>
      </c>
      <c r="K8" s="135" t="s">
        <v>59</v>
      </c>
    </row>
    <row r="10" spans="1:12" x14ac:dyDescent="0.25">
      <c r="A10" s="137">
        <v>1</v>
      </c>
      <c r="B10" s="142" t="s">
        <v>65</v>
      </c>
      <c r="C10" s="143" t="s">
        <v>67</v>
      </c>
      <c r="D10" s="144">
        <v>250000</v>
      </c>
      <c r="E10" s="145" t="s">
        <v>60</v>
      </c>
      <c r="F10" s="145" t="s">
        <v>61</v>
      </c>
      <c r="G10" s="145">
        <v>1234</v>
      </c>
      <c r="H10" s="146">
        <v>42194</v>
      </c>
      <c r="I10" s="144">
        <f>D10</f>
        <v>250000</v>
      </c>
      <c r="J10" s="155">
        <v>20</v>
      </c>
      <c r="K10" s="147">
        <f>I10/J10</f>
        <v>12500</v>
      </c>
    </row>
    <row r="11" spans="1:12" x14ac:dyDescent="0.25">
      <c r="A11" s="137">
        <v>2</v>
      </c>
      <c r="B11" s="142" t="s">
        <v>66</v>
      </c>
      <c r="C11" s="143" t="s">
        <v>68</v>
      </c>
      <c r="D11" s="144">
        <v>100000</v>
      </c>
      <c r="E11" s="145" t="s">
        <v>60</v>
      </c>
      <c r="F11" s="145" t="s">
        <v>69</v>
      </c>
      <c r="G11" s="145">
        <v>1234</v>
      </c>
      <c r="H11" s="146">
        <v>40828</v>
      </c>
      <c r="I11" s="144">
        <f>D11</f>
        <v>100000</v>
      </c>
      <c r="J11" s="145">
        <v>15</v>
      </c>
      <c r="K11" s="147">
        <f>I11/J11</f>
        <v>6666.666666666667</v>
      </c>
    </row>
    <row r="12" spans="1:12" ht="18.75" x14ac:dyDescent="0.25">
      <c r="C12" s="148"/>
      <c r="D12" s="149"/>
      <c r="E12" s="150"/>
      <c r="F12" s="150"/>
      <c r="G12" s="150"/>
      <c r="H12" s="151"/>
      <c r="I12" s="149"/>
      <c r="J12" s="156"/>
      <c r="K12" s="149"/>
      <c r="L12" s="154">
        <v>2</v>
      </c>
    </row>
    <row r="13" spans="1:12" x14ac:dyDescent="0.25">
      <c r="D13" s="147"/>
      <c r="H13" s="152"/>
      <c r="I13" s="147"/>
      <c r="J13" s="139"/>
      <c r="K13" s="147"/>
    </row>
    <row r="14" spans="1:12" ht="18.75" x14ac:dyDescent="0.25">
      <c r="B14" s="135" t="s">
        <v>0</v>
      </c>
      <c r="D14" s="147">
        <f>SUM(D10:D12)</f>
        <v>350000</v>
      </c>
      <c r="H14" s="152"/>
      <c r="I14" s="147">
        <f>SUM(I10:I12)</f>
        <v>350000</v>
      </c>
      <c r="J14" s="139"/>
      <c r="K14" s="147">
        <f>SUM(K10:K10)</f>
        <v>12500</v>
      </c>
      <c r="L14" s="154">
        <v>3</v>
      </c>
    </row>
    <row r="15" spans="1:12" x14ac:dyDescent="0.25">
      <c r="H15" s="152"/>
      <c r="I15" s="139"/>
      <c r="J15" s="139"/>
      <c r="K15" s="139"/>
    </row>
    <row r="16" spans="1:12" x14ac:dyDescent="0.25">
      <c r="H16" s="152"/>
      <c r="I16" s="139"/>
      <c r="J16" s="139"/>
      <c r="K16" s="139"/>
    </row>
    <row r="17" spans="1:11" ht="18.75" x14ac:dyDescent="0.25">
      <c r="A17" s="154">
        <v>1</v>
      </c>
      <c r="B17" s="137" t="s">
        <v>182</v>
      </c>
      <c r="H17" s="152"/>
      <c r="I17" s="139"/>
      <c r="J17" s="139"/>
      <c r="K17" s="139"/>
    </row>
    <row r="18" spans="1:11" ht="18.75" x14ac:dyDescent="0.25">
      <c r="A18" s="154">
        <v>2</v>
      </c>
      <c r="B18" s="137" t="s">
        <v>180</v>
      </c>
      <c r="H18" s="152"/>
      <c r="I18" s="139"/>
      <c r="J18" s="139"/>
      <c r="K18" s="139"/>
    </row>
    <row r="19" spans="1:11" ht="18.75" x14ac:dyDescent="0.25">
      <c r="A19" s="154">
        <v>3</v>
      </c>
      <c r="B19" s="137" t="s">
        <v>181</v>
      </c>
      <c r="H19" s="152"/>
      <c r="I19" s="139"/>
      <c r="J19" s="139"/>
      <c r="K19" s="139"/>
    </row>
    <row r="20" spans="1:11" x14ac:dyDescent="0.25">
      <c r="H20" s="152"/>
      <c r="I20" s="139"/>
      <c r="J20" s="139"/>
      <c r="K20" s="139"/>
    </row>
    <row r="21" spans="1:11" x14ac:dyDescent="0.25">
      <c r="H21" s="152"/>
      <c r="I21" s="139"/>
      <c r="J21" s="139"/>
      <c r="K21" s="139"/>
    </row>
    <row r="22" spans="1:11" x14ac:dyDescent="0.25">
      <c r="H22" s="152"/>
      <c r="I22" s="139"/>
      <c r="J22" s="139"/>
      <c r="K22" s="139"/>
    </row>
    <row r="23" spans="1:11" x14ac:dyDescent="0.25">
      <c r="H23" s="152"/>
      <c r="I23" s="139"/>
      <c r="J23" s="139"/>
      <c r="K23" s="139"/>
    </row>
    <row r="24" spans="1:11" x14ac:dyDescent="0.25">
      <c r="H24" s="152"/>
      <c r="I24" s="139"/>
      <c r="J24" s="139"/>
      <c r="K24" s="139"/>
    </row>
  </sheetData>
  <mergeCells count="1">
    <mergeCell ref="C3:F3"/>
  </mergeCells>
  <pageMargins left="0.5" right="0.5" top="0.75" bottom="0.5" header="0.5" footer="0.5"/>
  <pageSetup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4"/>
  <sheetViews>
    <sheetView zoomScaleNormal="100" workbookViewId="0">
      <selection activeCell="J20" sqref="J20"/>
    </sheetView>
  </sheetViews>
  <sheetFormatPr defaultColWidth="8.85546875" defaultRowHeight="15" x14ac:dyDescent="0.2"/>
  <cols>
    <col min="1" max="1" width="26" customWidth="1"/>
    <col min="2" max="2" width="21" customWidth="1"/>
    <col min="3" max="8" width="11.42578125" customWidth="1"/>
    <col min="9" max="9" width="10.5703125" customWidth="1"/>
    <col min="11" max="11" width="10.140625" customWidth="1"/>
    <col min="13" max="13" width="11.140625" customWidth="1"/>
    <col min="14" max="14" width="11" customWidth="1"/>
    <col min="17" max="17" width="8.85546875" style="116"/>
  </cols>
  <sheetData>
    <row r="1" spans="1:22" ht="15.75" x14ac:dyDescent="0.25">
      <c r="A1" s="70" t="s">
        <v>151</v>
      </c>
    </row>
    <row r="2" spans="1:22" ht="15.75" x14ac:dyDescent="0.25">
      <c r="A2" s="69"/>
    </row>
    <row r="3" spans="1:22" ht="15.75" x14ac:dyDescent="0.25">
      <c r="A3" s="9" t="s">
        <v>184</v>
      </c>
      <c r="B3" s="195" t="str">
        <f>IF('Per Unit Rate Calculations'!B3:E3="","",'Per Unit Rate Calculations'!B3:E3)</f>
        <v>Peter's Test Lab</v>
      </c>
      <c r="C3" s="195"/>
      <c r="D3" s="195"/>
      <c r="E3" s="195"/>
      <c r="F3" s="10"/>
      <c r="G3" s="10"/>
      <c r="H3" s="10"/>
    </row>
    <row r="4" spans="1:22" ht="15.75" x14ac:dyDescent="0.25">
      <c r="A4" s="9" t="s">
        <v>178</v>
      </c>
      <c r="B4" s="134" t="str">
        <f>IF('Per Unit Rate Calculations'!B4="","",'Per Unit Rate Calculations'!B4)</f>
        <v>20xx-xx</v>
      </c>
      <c r="C4" s="10"/>
      <c r="D4" s="10"/>
      <c r="E4" s="10"/>
      <c r="F4" s="10"/>
      <c r="G4" s="10"/>
      <c r="H4" s="10"/>
      <c r="Q4" s="115" t="s">
        <v>164</v>
      </c>
      <c r="S4" s="120"/>
      <c r="T4" s="70" t="s">
        <v>170</v>
      </c>
      <c r="U4" s="10"/>
      <c r="V4" s="10"/>
    </row>
    <row r="5" spans="1:22" ht="15.75" x14ac:dyDescent="0.25">
      <c r="B5" s="108" t="s">
        <v>167</v>
      </c>
      <c r="C5" s="193" t="s">
        <v>199</v>
      </c>
      <c r="D5" s="193"/>
      <c r="E5" s="193"/>
      <c r="F5" s="10"/>
      <c r="G5" s="10"/>
      <c r="H5" s="10"/>
      <c r="Q5" s="70" t="s">
        <v>78</v>
      </c>
    </row>
    <row r="6" spans="1:22" ht="16.5" thickBot="1" x14ac:dyDescent="0.3">
      <c r="A6" s="11"/>
      <c r="B6" s="110" t="s">
        <v>160</v>
      </c>
      <c r="C6" s="109">
        <v>0.29799999999999999</v>
      </c>
      <c r="D6" s="11"/>
      <c r="E6" s="11"/>
      <c r="F6" s="11"/>
      <c r="G6" s="11"/>
      <c r="H6" s="11"/>
      <c r="I6" s="11"/>
      <c r="J6" s="11"/>
      <c r="K6" s="11"/>
      <c r="L6" s="11"/>
      <c r="M6" s="11"/>
      <c r="N6" s="11"/>
    </row>
    <row r="7" spans="1:22" ht="15.75" x14ac:dyDescent="0.25">
      <c r="A7" s="12" t="s">
        <v>1</v>
      </c>
      <c r="B7" s="12"/>
      <c r="C7" s="10"/>
      <c r="D7" s="10"/>
      <c r="E7" s="10"/>
      <c r="F7" s="10"/>
      <c r="G7" s="10"/>
      <c r="H7" s="10"/>
      <c r="I7" s="10"/>
      <c r="J7" s="10"/>
      <c r="K7" s="10"/>
      <c r="L7" s="10"/>
      <c r="M7" s="10"/>
      <c r="N7" s="10"/>
      <c r="Q7" s="70" t="s">
        <v>177</v>
      </c>
    </row>
    <row r="8" spans="1:22" ht="47.25" x14ac:dyDescent="0.25">
      <c r="A8" s="13" t="s">
        <v>2</v>
      </c>
      <c r="B8" s="13" t="s">
        <v>25</v>
      </c>
      <c r="C8" s="13" t="s">
        <v>3</v>
      </c>
      <c r="D8" s="13" t="s">
        <v>4</v>
      </c>
      <c r="E8" s="13" t="s">
        <v>5</v>
      </c>
      <c r="F8" s="13" t="s">
        <v>6</v>
      </c>
      <c r="G8" s="13" t="s">
        <v>7</v>
      </c>
      <c r="H8" s="13" t="s">
        <v>8</v>
      </c>
      <c r="I8" s="37" t="s">
        <v>47</v>
      </c>
      <c r="J8" s="37" t="s">
        <v>48</v>
      </c>
      <c r="K8" s="37" t="s">
        <v>49</v>
      </c>
      <c r="L8" s="37" t="s">
        <v>50</v>
      </c>
      <c r="M8" s="37" t="s">
        <v>52</v>
      </c>
      <c r="N8" s="37" t="s">
        <v>51</v>
      </c>
    </row>
    <row r="9" spans="1:22" ht="15.75" x14ac:dyDescent="0.25">
      <c r="A9" s="14"/>
      <c r="B9" s="14"/>
      <c r="C9" s="14" t="s">
        <v>9</v>
      </c>
      <c r="D9" s="14" t="s">
        <v>10</v>
      </c>
      <c r="E9" s="14" t="s">
        <v>11</v>
      </c>
      <c r="F9" s="14" t="s">
        <v>12</v>
      </c>
      <c r="G9" s="14" t="s">
        <v>13</v>
      </c>
      <c r="H9" s="14" t="s">
        <v>14</v>
      </c>
      <c r="I9" s="3"/>
      <c r="J9" s="3"/>
      <c r="K9" s="3"/>
      <c r="L9" s="3"/>
      <c r="M9" s="3"/>
      <c r="N9" s="3"/>
      <c r="Q9" s="70" t="s">
        <v>80</v>
      </c>
    </row>
    <row r="10" spans="1:22" ht="15.75" x14ac:dyDescent="0.25">
      <c r="A10" s="15"/>
      <c r="B10" s="15"/>
      <c r="C10" s="15"/>
      <c r="D10" s="15"/>
      <c r="E10" s="15" t="s">
        <v>15</v>
      </c>
      <c r="F10" s="15"/>
      <c r="G10" s="15" t="s">
        <v>16</v>
      </c>
      <c r="H10" s="15" t="s">
        <v>17</v>
      </c>
      <c r="I10" s="65"/>
      <c r="J10" s="65"/>
      <c r="K10" s="65"/>
      <c r="L10" s="65"/>
      <c r="M10" s="65"/>
      <c r="N10" s="65"/>
      <c r="Q10" s="70" t="s">
        <v>81</v>
      </c>
    </row>
    <row r="11" spans="1:22" ht="15.75" x14ac:dyDescent="0.25">
      <c r="A11" s="66" t="str">
        <f>'Per Unit Rate Calculations'!A11</f>
        <v>Name</v>
      </c>
      <c r="B11" s="66" t="str">
        <f>'Per Unit Rate Calculations'!B11</f>
        <v>Title (e.g. Director)</v>
      </c>
      <c r="C11" s="122">
        <v>0.05</v>
      </c>
      <c r="D11" s="123">
        <v>85000</v>
      </c>
      <c r="E11" s="97">
        <f>C11*D11</f>
        <v>4250</v>
      </c>
      <c r="F11" s="129">
        <v>0.22</v>
      </c>
      <c r="G11" s="97">
        <f>E11*F11</f>
        <v>935</v>
      </c>
      <c r="H11" s="97">
        <f>E11+G11</f>
        <v>5185</v>
      </c>
      <c r="I11" s="67">
        <f>2088*C11</f>
        <v>104.4</v>
      </c>
      <c r="J11" s="67">
        <f>104*C11</f>
        <v>5.2</v>
      </c>
      <c r="K11" s="67">
        <f>192*C11</f>
        <v>9.6000000000000014</v>
      </c>
      <c r="L11" s="67">
        <f>96*C11</f>
        <v>4.8000000000000007</v>
      </c>
      <c r="M11" s="67">
        <f t="shared" ref="M11:M12" si="0">0.1*I11</f>
        <v>10.440000000000001</v>
      </c>
      <c r="N11" s="67">
        <f t="shared" ref="N11:N12" si="1">I11-J11-K11-L11-M11</f>
        <v>74.36</v>
      </c>
      <c r="Q11" s="70" t="s">
        <v>82</v>
      </c>
    </row>
    <row r="12" spans="1:22" ht="15.75" x14ac:dyDescent="0.25">
      <c r="A12" s="66" t="str">
        <f>'Per Unit Rate Calculations'!A12</f>
        <v>Name</v>
      </c>
      <c r="B12" s="66" t="str">
        <f>'Per Unit Rate Calculations'!B12</f>
        <v>Title (e.g. SRA)</v>
      </c>
      <c r="C12" s="125">
        <v>0</v>
      </c>
      <c r="D12" s="126">
        <v>75000</v>
      </c>
      <c r="E12" s="98">
        <f>C12*D12</f>
        <v>0</v>
      </c>
      <c r="F12" s="130">
        <v>0.19</v>
      </c>
      <c r="G12" s="98">
        <f>E12*F12</f>
        <v>0</v>
      </c>
      <c r="H12" s="98">
        <f>E12+G12</f>
        <v>0</v>
      </c>
      <c r="I12" s="105">
        <f>2088*C12</f>
        <v>0</v>
      </c>
      <c r="J12" s="105">
        <f>104*C12</f>
        <v>0</v>
      </c>
      <c r="K12" s="105">
        <f>192*C12</f>
        <v>0</v>
      </c>
      <c r="L12" s="105">
        <f>96*C12</f>
        <v>0</v>
      </c>
      <c r="M12" s="67">
        <f t="shared" si="0"/>
        <v>0</v>
      </c>
      <c r="N12" s="67">
        <f t="shared" si="1"/>
        <v>0</v>
      </c>
      <c r="Q12" s="71" t="s">
        <v>83</v>
      </c>
    </row>
    <row r="13" spans="1:22" ht="15.75" x14ac:dyDescent="0.25">
      <c r="A13" s="66" t="str">
        <f>'Per Unit Rate Calculations'!A13</f>
        <v>Name</v>
      </c>
      <c r="B13" s="66" t="str">
        <f>'Per Unit Rate Calculations'!B13</f>
        <v>Title (e.g. Stdnt Asst*)</v>
      </c>
      <c r="C13" s="122">
        <v>0.5</v>
      </c>
      <c r="D13" s="123">
        <v>50000</v>
      </c>
      <c r="E13" s="97">
        <f>C13*D13</f>
        <v>25000</v>
      </c>
      <c r="F13" s="129">
        <v>0.23</v>
      </c>
      <c r="G13" s="97">
        <f>E13*F13</f>
        <v>5750</v>
      </c>
      <c r="H13" s="97">
        <f>E13+G13</f>
        <v>30750</v>
      </c>
      <c r="I13" s="67">
        <f>2088*C13</f>
        <v>1044</v>
      </c>
      <c r="J13" s="67">
        <f>104*C13</f>
        <v>52</v>
      </c>
      <c r="K13" s="67">
        <f>120*C13</f>
        <v>60</v>
      </c>
      <c r="L13" s="67">
        <f>96*C13</f>
        <v>48</v>
      </c>
      <c r="M13" s="67">
        <f>0.1*I13</f>
        <v>104.4</v>
      </c>
      <c r="N13" s="67">
        <f>I13-J13-K13-L13-M13</f>
        <v>779.6</v>
      </c>
      <c r="Q13" s="70" t="s">
        <v>84</v>
      </c>
    </row>
    <row r="14" spans="1:22" ht="15.75" x14ac:dyDescent="0.25">
      <c r="A14" s="66" t="str">
        <f>'Per Unit Rate Calculations'!A14</f>
        <v>Name</v>
      </c>
      <c r="B14" s="66">
        <f>'Per Unit Rate Calculations'!B14</f>
        <v>0</v>
      </c>
      <c r="C14" s="122">
        <v>0.5</v>
      </c>
      <c r="D14" s="128">
        <v>50000</v>
      </c>
      <c r="E14" s="97">
        <f>C14*D14</f>
        <v>25000</v>
      </c>
      <c r="F14" s="129">
        <v>0.25</v>
      </c>
      <c r="G14" s="97">
        <f>E14*F14</f>
        <v>6250</v>
      </c>
      <c r="H14" s="97">
        <f>E14+G14</f>
        <v>31250</v>
      </c>
      <c r="I14" s="67">
        <f>2088*C14</f>
        <v>1044</v>
      </c>
      <c r="J14" s="67">
        <f>104*C14</f>
        <v>52</v>
      </c>
      <c r="K14" s="67">
        <f>120*C14</f>
        <v>60</v>
      </c>
      <c r="L14" s="67">
        <f>96*C14</f>
        <v>48</v>
      </c>
      <c r="M14" s="67">
        <f>0.1*I14</f>
        <v>104.4</v>
      </c>
      <c r="N14" s="67">
        <f>I14-J14-K14-L14-M14</f>
        <v>779.6</v>
      </c>
      <c r="Q14" s="70" t="s">
        <v>85</v>
      </c>
    </row>
    <row r="15" spans="1:22" ht="15.75" x14ac:dyDescent="0.25">
      <c r="A15" s="17" t="s">
        <v>18</v>
      </c>
      <c r="B15" s="17"/>
      <c r="C15" s="18">
        <f>SUM(C11:C14)</f>
        <v>1.05</v>
      </c>
      <c r="D15" s="97"/>
      <c r="E15" s="97">
        <f>SUM(E11:E11)</f>
        <v>4250</v>
      </c>
      <c r="F15" s="19"/>
      <c r="G15" s="97">
        <f>SUM(G11:G11)</f>
        <v>935</v>
      </c>
      <c r="H15" s="97">
        <f>SUM(H11:H14)</f>
        <v>67185</v>
      </c>
      <c r="I15" s="67"/>
      <c r="J15" s="67"/>
      <c r="K15" s="67"/>
      <c r="L15" s="67"/>
      <c r="M15" s="67"/>
      <c r="N15" s="67">
        <f>SUM(N11:N14)</f>
        <v>1633.56</v>
      </c>
      <c r="Q15" s="70" t="s">
        <v>86</v>
      </c>
    </row>
    <row r="16" spans="1:22" ht="15.75" x14ac:dyDescent="0.25">
      <c r="A16" s="10"/>
      <c r="B16" s="10"/>
      <c r="C16" s="20"/>
      <c r="D16" s="21"/>
      <c r="E16" s="21"/>
      <c r="F16" s="21"/>
      <c r="G16" s="21"/>
      <c r="H16" s="21"/>
      <c r="Q16" s="70" t="s">
        <v>87</v>
      </c>
    </row>
    <row r="17" spans="1:17" ht="15.75" x14ac:dyDescent="0.25">
      <c r="A17" s="10" t="str">
        <f>'Per Unit Rate Calculations'!A17</f>
        <v>Office Supplies</v>
      </c>
      <c r="B17" s="10"/>
      <c r="C17" s="10"/>
      <c r="D17" s="10"/>
      <c r="E17" s="10"/>
      <c r="F17" s="10"/>
      <c r="G17" s="10"/>
      <c r="H17" s="131">
        <f>500*C15</f>
        <v>525</v>
      </c>
      <c r="Q17" s="70" t="s">
        <v>88</v>
      </c>
    </row>
    <row r="18" spans="1:17" ht="15.75" x14ac:dyDescent="0.25">
      <c r="A18" s="10" t="str">
        <f>'Per Unit Rate Calculations'!A18</f>
        <v>Lab Supplies</v>
      </c>
      <c r="B18" s="10"/>
      <c r="C18" s="10"/>
      <c r="D18" s="10"/>
      <c r="E18" s="10"/>
      <c r="F18" s="10"/>
      <c r="G18" s="10"/>
      <c r="H18" s="131">
        <v>0</v>
      </c>
      <c r="Q18" s="70" t="s">
        <v>89</v>
      </c>
    </row>
    <row r="19" spans="1:17" ht="15.75" x14ac:dyDescent="0.25">
      <c r="A19" s="10"/>
      <c r="B19" s="10"/>
      <c r="C19" s="10"/>
      <c r="D19" s="10"/>
      <c r="E19" s="10"/>
      <c r="F19" s="10"/>
      <c r="G19" s="10"/>
      <c r="H19" s="131"/>
      <c r="Q19" s="70" t="s">
        <v>90</v>
      </c>
    </row>
    <row r="20" spans="1:17" ht="15.75" x14ac:dyDescent="0.25">
      <c r="A20" s="10"/>
      <c r="B20" s="10"/>
      <c r="C20" s="10"/>
      <c r="D20" s="10"/>
      <c r="E20" s="10"/>
      <c r="F20" s="10"/>
      <c r="G20" s="10"/>
      <c r="H20" s="99"/>
      <c r="Q20" s="70" t="s">
        <v>91</v>
      </c>
    </row>
    <row r="21" spans="1:17" ht="15.75" x14ac:dyDescent="0.25">
      <c r="A21" s="17" t="s">
        <v>19</v>
      </c>
      <c r="B21" s="17"/>
      <c r="C21" s="17"/>
      <c r="D21" s="17"/>
      <c r="E21" s="17"/>
      <c r="F21" s="17"/>
      <c r="G21" s="17"/>
      <c r="H21" s="100">
        <f>SUM(H17:H20)</f>
        <v>525</v>
      </c>
      <c r="Q21" s="70" t="s">
        <v>92</v>
      </c>
    </row>
    <row r="22" spans="1:17" ht="15.75" x14ac:dyDescent="0.25">
      <c r="A22" s="10"/>
      <c r="B22" s="10"/>
      <c r="C22" s="10"/>
      <c r="D22" s="10"/>
      <c r="E22" s="10"/>
      <c r="F22" s="10"/>
      <c r="G22" s="10"/>
      <c r="H22" s="101"/>
      <c r="Q22" s="70" t="s">
        <v>93</v>
      </c>
    </row>
    <row r="23" spans="1:17" ht="15.75" x14ac:dyDescent="0.25">
      <c r="A23" s="17" t="s">
        <v>37</v>
      </c>
      <c r="B23" s="17"/>
      <c r="C23" s="17"/>
      <c r="D23" s="17"/>
      <c r="E23" s="17"/>
      <c r="F23" s="17"/>
      <c r="G23" s="17"/>
      <c r="H23" s="132">
        <v>750</v>
      </c>
      <c r="Q23" s="70" t="s">
        <v>94</v>
      </c>
    </row>
    <row r="24" spans="1:17" ht="15.75" x14ac:dyDescent="0.25">
      <c r="A24" s="10"/>
      <c r="B24" s="10"/>
      <c r="C24" s="10"/>
      <c r="D24" s="10"/>
      <c r="E24" s="10"/>
      <c r="F24" s="10"/>
      <c r="G24" s="10"/>
      <c r="H24" s="101"/>
      <c r="Q24" s="70" t="s">
        <v>95</v>
      </c>
    </row>
    <row r="25" spans="1:17" ht="16.5" thickBot="1" x14ac:dyDescent="0.3">
      <c r="A25" s="22" t="s">
        <v>20</v>
      </c>
      <c r="B25" s="22"/>
      <c r="C25" s="22"/>
      <c r="D25" s="22"/>
      <c r="E25" s="22"/>
      <c r="F25" s="22"/>
      <c r="G25" s="22"/>
      <c r="H25" s="102">
        <f>SUM(H15,H21,H23)</f>
        <v>68460</v>
      </c>
      <c r="Q25" s="70" t="s">
        <v>118</v>
      </c>
    </row>
    <row r="26" spans="1:17" ht="16.5" thickTop="1" x14ac:dyDescent="0.25">
      <c r="A26" s="10"/>
      <c r="B26" s="184"/>
      <c r="C26" s="10"/>
      <c r="D26" s="10"/>
      <c r="E26" s="10"/>
      <c r="F26" s="10"/>
      <c r="G26" s="10"/>
      <c r="H26" s="87"/>
      <c r="Q26" s="70"/>
    </row>
    <row r="27" spans="1:17" ht="15.75" x14ac:dyDescent="0.25">
      <c r="A27" s="10" t="s">
        <v>195</v>
      </c>
      <c r="B27" s="183" t="s">
        <v>196</v>
      </c>
      <c r="C27" s="10"/>
      <c r="D27" s="10"/>
      <c r="E27" s="10"/>
      <c r="F27" s="10"/>
      <c r="G27" s="10"/>
      <c r="H27" s="181">
        <v>8000</v>
      </c>
      <c r="K27" s="72"/>
      <c r="Q27"/>
    </row>
    <row r="28" spans="1:17" ht="15.75" x14ac:dyDescent="0.25">
      <c r="A28" s="10"/>
      <c r="B28" s="10"/>
      <c r="C28" s="10"/>
      <c r="D28" s="10"/>
      <c r="E28" s="10"/>
      <c r="F28" s="10"/>
      <c r="G28" s="10"/>
      <c r="H28" s="90"/>
      <c r="K28" s="72"/>
      <c r="Q28"/>
    </row>
    <row r="29" spans="1:17" ht="16.5" thickBot="1" x14ac:dyDescent="0.3">
      <c r="A29" s="22" t="s">
        <v>194</v>
      </c>
      <c r="B29" s="22"/>
      <c r="C29" s="22"/>
      <c r="D29" s="22"/>
      <c r="E29" s="22"/>
      <c r="F29" s="22"/>
      <c r="G29" s="22"/>
      <c r="H29" s="102">
        <f>H25-H27</f>
        <v>60460</v>
      </c>
      <c r="K29" s="72"/>
      <c r="Q29"/>
    </row>
    <row r="30" spans="1:17" ht="16.5" thickTop="1" x14ac:dyDescent="0.25">
      <c r="A30" s="10"/>
      <c r="B30" s="10"/>
      <c r="C30" s="10"/>
      <c r="D30" s="10"/>
      <c r="E30" s="10"/>
      <c r="F30" s="10"/>
      <c r="G30" s="10"/>
      <c r="H30" s="90"/>
      <c r="K30" s="72"/>
      <c r="Q30"/>
    </row>
    <row r="31" spans="1:17" ht="15.75" x14ac:dyDescent="0.25">
      <c r="A31" s="10"/>
      <c r="B31" s="10"/>
      <c r="C31" s="10"/>
      <c r="D31" s="10"/>
      <c r="E31" s="10"/>
      <c r="F31" s="10"/>
      <c r="G31" s="10"/>
      <c r="H31" s="90"/>
      <c r="Q31" s="70" t="s">
        <v>96</v>
      </c>
    </row>
    <row r="32" spans="1:17" ht="15.75" x14ac:dyDescent="0.25">
      <c r="A32" s="10" t="s">
        <v>53</v>
      </c>
      <c r="B32" s="10"/>
      <c r="C32" s="10"/>
      <c r="D32" s="10"/>
      <c r="E32" s="10"/>
      <c r="F32" s="10"/>
      <c r="G32" s="10"/>
      <c r="H32" s="104">
        <f>N15</f>
        <v>1633.56</v>
      </c>
      <c r="Q32" s="71" t="s">
        <v>97</v>
      </c>
    </row>
    <row r="33" spans="1:17" ht="15.75" x14ac:dyDescent="0.25">
      <c r="A33" s="10"/>
      <c r="B33" s="10"/>
      <c r="C33" s="10"/>
      <c r="D33" s="10"/>
      <c r="E33" s="10"/>
      <c r="F33" s="10"/>
      <c r="G33" s="10"/>
      <c r="H33" s="90"/>
      <c r="Q33" s="70" t="s">
        <v>98</v>
      </c>
    </row>
    <row r="34" spans="1:17" ht="16.5" thickBot="1" x14ac:dyDescent="0.3">
      <c r="A34" s="23" t="s">
        <v>185</v>
      </c>
      <c r="B34" s="23"/>
      <c r="C34" s="24"/>
      <c r="D34" s="24"/>
      <c r="E34" s="24"/>
      <c r="F34" s="24"/>
      <c r="G34" s="24"/>
      <c r="H34" s="182">
        <f>H29/H32</f>
        <v>37.011190283797355</v>
      </c>
      <c r="Q34" s="16" t="s">
        <v>99</v>
      </c>
    </row>
    <row r="35" spans="1:17" ht="15.75" x14ac:dyDescent="0.25">
      <c r="A35" s="9" t="s">
        <v>161</v>
      </c>
      <c r="B35" s="10"/>
      <c r="C35" s="10"/>
      <c r="D35" s="10"/>
      <c r="E35" s="10"/>
      <c r="F35" s="10"/>
      <c r="G35" s="10"/>
      <c r="H35" s="125">
        <v>0.9</v>
      </c>
      <c r="Q35" s="70" t="s">
        <v>100</v>
      </c>
    </row>
    <row r="36" spans="1:17" ht="16.5" thickBot="1" x14ac:dyDescent="0.3">
      <c r="A36" s="23" t="s">
        <v>197</v>
      </c>
      <c r="B36" s="23"/>
      <c r="C36" s="23"/>
      <c r="D36" s="23"/>
      <c r="E36" s="23"/>
      <c r="F36" s="23"/>
      <c r="G36" s="23"/>
      <c r="H36" s="103">
        <f>(H25/H32)*(1+C6)</f>
        <v>54.397193858811427</v>
      </c>
      <c r="Q36" s="70" t="s">
        <v>101</v>
      </c>
    </row>
    <row r="37" spans="1:17" ht="15.75" x14ac:dyDescent="0.25">
      <c r="A37" s="9" t="s">
        <v>162</v>
      </c>
      <c r="H37" s="125">
        <f>1-H35</f>
        <v>9.9999999999999978E-2</v>
      </c>
      <c r="Q37" s="16" t="s">
        <v>157</v>
      </c>
    </row>
    <row r="38" spans="1:17" ht="15.75" x14ac:dyDescent="0.25">
      <c r="Q38" s="16" t="s">
        <v>102</v>
      </c>
    </row>
    <row r="39" spans="1:17" ht="15.75" x14ac:dyDescent="0.25">
      <c r="Q39" s="16" t="s">
        <v>103</v>
      </c>
    </row>
    <row r="40" spans="1:17" ht="15.75" x14ac:dyDescent="0.25">
      <c r="Q40" s="16" t="s">
        <v>104</v>
      </c>
    </row>
    <row r="41" spans="1:17" ht="15.75" x14ac:dyDescent="0.25">
      <c r="Q41" s="16" t="s">
        <v>105</v>
      </c>
    </row>
    <row r="42" spans="1:17" ht="15.75" x14ac:dyDescent="0.25">
      <c r="Q42" s="16" t="s">
        <v>106</v>
      </c>
    </row>
    <row r="43" spans="1:17" ht="15.75" x14ac:dyDescent="0.25">
      <c r="Q43" s="16" t="s">
        <v>107</v>
      </c>
    </row>
    <row r="44" spans="1:17" ht="15.75" x14ac:dyDescent="0.25">
      <c r="Q44" s="106" t="s">
        <v>149</v>
      </c>
    </row>
    <row r="45" spans="1:17" ht="15.75" x14ac:dyDescent="0.25">
      <c r="Q45" s="16" t="s">
        <v>108</v>
      </c>
    </row>
    <row r="47" spans="1:17" ht="15.75" x14ac:dyDescent="0.25">
      <c r="Q47" s="72" t="s">
        <v>176</v>
      </c>
    </row>
    <row r="50" spans="1:17" s="3" customFormat="1" x14ac:dyDescent="0.2">
      <c r="A50"/>
      <c r="B50"/>
      <c r="C50"/>
      <c r="D50"/>
      <c r="E50"/>
      <c r="F50"/>
      <c r="G50"/>
      <c r="H50"/>
      <c r="I50"/>
      <c r="J50"/>
      <c r="K50"/>
      <c r="L50"/>
      <c r="M50"/>
      <c r="N50"/>
      <c r="Q50" s="116"/>
    </row>
    <row r="51" spans="1:17" s="3" customFormat="1" x14ac:dyDescent="0.2">
      <c r="A51"/>
      <c r="B51"/>
      <c r="C51"/>
      <c r="D51"/>
      <c r="E51"/>
      <c r="F51"/>
      <c r="G51"/>
      <c r="H51"/>
      <c r="I51"/>
      <c r="J51"/>
      <c r="K51"/>
      <c r="L51"/>
      <c r="M51"/>
      <c r="N51"/>
      <c r="Q51" s="116"/>
    </row>
    <row r="52" spans="1:17" s="3" customFormat="1" x14ac:dyDescent="0.2">
      <c r="A52"/>
      <c r="B52"/>
      <c r="C52"/>
      <c r="D52"/>
      <c r="E52"/>
      <c r="F52"/>
      <c r="G52"/>
      <c r="H52"/>
      <c r="I52"/>
      <c r="J52"/>
      <c r="K52"/>
      <c r="L52"/>
      <c r="M52"/>
      <c r="N52"/>
      <c r="Q52" s="117"/>
    </row>
    <row r="53" spans="1:17" x14ac:dyDescent="0.2">
      <c r="Q53" s="117"/>
    </row>
    <row r="54" spans="1:17" x14ac:dyDescent="0.2">
      <c r="Q54" s="117"/>
    </row>
  </sheetData>
  <mergeCells count="2">
    <mergeCell ref="B3:E3"/>
    <mergeCell ref="C5:E5"/>
  </mergeCells>
  <pageMargins left="0.75" right="0.75" top="0.5" bottom="0.25" header="0.5" footer="0.5"/>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H34"/>
  <sheetViews>
    <sheetView topLeftCell="A19" zoomScaleNormal="100" workbookViewId="0">
      <selection activeCell="H36" sqref="A1:H36"/>
    </sheetView>
  </sheetViews>
  <sheetFormatPr defaultRowHeight="12.75" x14ac:dyDescent="0.2"/>
  <cols>
    <col min="1" max="1" width="33.42578125" customWidth="1"/>
    <col min="2" max="2" width="11.42578125" bestFit="1" customWidth="1"/>
    <col min="3" max="3" width="6.5703125" bestFit="1" customWidth="1"/>
    <col min="4" max="4" width="10.28515625" bestFit="1" customWidth="1"/>
    <col min="8" max="8" width="11.28515625" bestFit="1" customWidth="1"/>
  </cols>
  <sheetData>
    <row r="2" spans="1:8" ht="15.75" x14ac:dyDescent="0.25">
      <c r="A2" s="9" t="s">
        <v>184</v>
      </c>
      <c r="B2" s="195" t="str">
        <f>IF('Per Unit Rate Calculations'!B2:E2="","",'Per Unit Rate Calculations'!B2:E2)</f>
        <v/>
      </c>
      <c r="C2" s="195"/>
      <c r="D2" s="195"/>
      <c r="E2" s="195"/>
      <c r="F2" s="10"/>
      <c r="G2" s="10"/>
      <c r="H2" s="10"/>
    </row>
    <row r="3" spans="1:8" ht="15.75" x14ac:dyDescent="0.25">
      <c r="A3" s="9" t="s">
        <v>178</v>
      </c>
      <c r="B3" s="134" t="str">
        <f>IF('Per Unit Rate Calculations'!B3="","",'Per Unit Rate Calculations'!B3)</f>
        <v>Peter's Test Lab</v>
      </c>
      <c r="C3" s="10"/>
      <c r="D3" s="10"/>
      <c r="E3" s="10"/>
      <c r="F3" s="10"/>
      <c r="G3" s="10"/>
      <c r="H3" s="10"/>
    </row>
    <row r="4" spans="1:8" ht="15.75" x14ac:dyDescent="0.25">
      <c r="B4" s="108" t="s">
        <v>167</v>
      </c>
      <c r="C4" s="193" t="s">
        <v>168</v>
      </c>
      <c r="D4" s="193"/>
      <c r="E4" s="193"/>
      <c r="F4" s="10"/>
      <c r="G4" s="10"/>
      <c r="H4" s="10"/>
    </row>
    <row r="5" spans="1:8" ht="16.5" thickBot="1" x14ac:dyDescent="0.3">
      <c r="A5" s="11"/>
      <c r="B5" s="110" t="s">
        <v>160</v>
      </c>
      <c r="C5" s="109">
        <v>0.29799999999999999</v>
      </c>
      <c r="D5" s="11"/>
      <c r="E5" s="11"/>
      <c r="F5" s="11"/>
      <c r="G5" s="11"/>
      <c r="H5" s="11"/>
    </row>
    <row r="6" spans="1:8" ht="15.75" x14ac:dyDescent="0.25">
      <c r="A6" s="12" t="s">
        <v>1</v>
      </c>
      <c r="B6" s="12"/>
      <c r="C6" s="10"/>
      <c r="D6" s="10"/>
      <c r="E6" s="10"/>
      <c r="F6" s="10"/>
      <c r="G6" s="10"/>
      <c r="H6" s="10"/>
    </row>
    <row r="7" spans="1:8" ht="47.25" x14ac:dyDescent="0.25">
      <c r="A7" s="13" t="s">
        <v>2</v>
      </c>
      <c r="B7" s="13" t="s">
        <v>25</v>
      </c>
      <c r="C7" s="13" t="s">
        <v>3</v>
      </c>
      <c r="D7" s="13" t="s">
        <v>4</v>
      </c>
      <c r="E7" s="13" t="s">
        <v>5</v>
      </c>
      <c r="F7" s="13" t="s">
        <v>6</v>
      </c>
      <c r="G7" s="13" t="s">
        <v>7</v>
      </c>
      <c r="H7" s="13" t="s">
        <v>8</v>
      </c>
    </row>
    <row r="8" spans="1:8" ht="15.75" x14ac:dyDescent="0.25">
      <c r="A8" s="14"/>
      <c r="B8" s="14"/>
      <c r="C8" s="14" t="s">
        <v>9</v>
      </c>
      <c r="D8" s="14" t="s">
        <v>10</v>
      </c>
      <c r="E8" s="14" t="s">
        <v>11</v>
      </c>
      <c r="F8" s="14" t="s">
        <v>12</v>
      </c>
      <c r="G8" s="14" t="s">
        <v>13</v>
      </c>
      <c r="H8" s="14" t="s">
        <v>14</v>
      </c>
    </row>
    <row r="9" spans="1:8" ht="15.75" x14ac:dyDescent="0.25">
      <c r="A9" s="15"/>
      <c r="B9" s="15"/>
      <c r="C9" s="15"/>
      <c r="D9" s="15"/>
      <c r="E9" s="15" t="s">
        <v>15</v>
      </c>
      <c r="F9" s="15"/>
      <c r="G9" s="15" t="s">
        <v>16</v>
      </c>
      <c r="H9" s="15" t="s">
        <v>17</v>
      </c>
    </row>
    <row r="10" spans="1:8" ht="15.75" x14ac:dyDescent="0.25">
      <c r="A10" s="157" t="s">
        <v>39</v>
      </c>
      <c r="B10" s="157"/>
      <c r="C10" s="158">
        <v>0.05</v>
      </c>
      <c r="D10" s="159">
        <v>101000</v>
      </c>
      <c r="E10" s="169">
        <f>C10*D10</f>
        <v>5050</v>
      </c>
      <c r="F10" s="170">
        <v>0.22</v>
      </c>
      <c r="G10" s="169">
        <f>E10*F10</f>
        <v>1111</v>
      </c>
      <c r="H10" s="169">
        <f>E10+G10</f>
        <v>6161</v>
      </c>
    </row>
    <row r="11" spans="1:8" ht="15.75" x14ac:dyDescent="0.25">
      <c r="A11" s="106" t="s">
        <v>39</v>
      </c>
      <c r="B11" s="106"/>
      <c r="C11" s="160">
        <v>0.15</v>
      </c>
      <c r="D11" s="161">
        <v>75000</v>
      </c>
      <c r="E11" s="171">
        <f>C11*D11</f>
        <v>11250</v>
      </c>
      <c r="F11" s="172">
        <v>0.19</v>
      </c>
      <c r="G11" s="171">
        <f>E11*F11</f>
        <v>2137.5</v>
      </c>
      <c r="H11" s="171">
        <f>E11+G11</f>
        <v>13387.5</v>
      </c>
    </row>
    <row r="12" spans="1:8" ht="15.75" x14ac:dyDescent="0.25">
      <c r="A12" s="162" t="s">
        <v>39</v>
      </c>
      <c r="B12" s="157"/>
      <c r="C12" s="158">
        <v>0.5</v>
      </c>
      <c r="D12" s="159">
        <v>50000</v>
      </c>
      <c r="E12" s="169">
        <f>C12*D12</f>
        <v>25000</v>
      </c>
      <c r="F12" s="170">
        <v>0.23</v>
      </c>
      <c r="G12" s="169">
        <f>E12*F12</f>
        <v>5750</v>
      </c>
      <c r="H12" s="169">
        <f>E12+G12</f>
        <v>30750</v>
      </c>
    </row>
    <row r="13" spans="1:8" ht="15.75" x14ac:dyDescent="0.25">
      <c r="A13" s="162" t="s">
        <v>39</v>
      </c>
      <c r="B13" s="157"/>
      <c r="C13" s="158">
        <v>0.5</v>
      </c>
      <c r="D13" s="163">
        <v>50000</v>
      </c>
      <c r="E13" s="169">
        <f>C13*D13</f>
        <v>25000</v>
      </c>
      <c r="F13" s="170">
        <v>0.25</v>
      </c>
      <c r="G13" s="169">
        <f>E13*F13</f>
        <v>6250</v>
      </c>
      <c r="H13" s="169">
        <f>E13+G13</f>
        <v>31250</v>
      </c>
    </row>
    <row r="14" spans="1:8" ht="15.75" x14ac:dyDescent="0.25">
      <c r="A14" s="17" t="s">
        <v>18</v>
      </c>
      <c r="B14" s="17"/>
      <c r="C14" s="18">
        <f>SUM(C10:C13)</f>
        <v>1.2</v>
      </c>
      <c r="D14" s="159"/>
      <c r="E14" s="169">
        <f>SUM(E10:E13)</f>
        <v>66300</v>
      </c>
      <c r="F14" s="173"/>
      <c r="G14" s="169">
        <f>SUM(G10:G13)</f>
        <v>15248.5</v>
      </c>
      <c r="H14" s="169">
        <f>SUM(H10:H13)</f>
        <v>81548.5</v>
      </c>
    </row>
    <row r="15" spans="1:8" ht="15.75" x14ac:dyDescent="0.25">
      <c r="A15" s="10"/>
      <c r="B15" s="10"/>
      <c r="C15" s="20"/>
      <c r="D15" s="164"/>
      <c r="E15" s="174"/>
      <c r="F15" s="174"/>
      <c r="G15" s="174"/>
      <c r="H15" s="174"/>
    </row>
    <row r="16" spans="1:8" ht="15.75" x14ac:dyDescent="0.25">
      <c r="A16" s="10" t="s">
        <v>55</v>
      </c>
      <c r="B16" s="10"/>
      <c r="C16" s="10"/>
      <c r="D16" s="10"/>
      <c r="E16" s="10"/>
      <c r="F16" s="10"/>
      <c r="G16" s="10"/>
      <c r="H16" s="168">
        <v>0</v>
      </c>
    </row>
    <row r="17" spans="1:8" ht="15.75" x14ac:dyDescent="0.25">
      <c r="A17" s="10" t="s">
        <v>56</v>
      </c>
      <c r="B17" s="10"/>
      <c r="C17" s="10"/>
      <c r="D17" s="10"/>
      <c r="E17" s="10"/>
      <c r="F17" s="10"/>
      <c r="G17" s="10"/>
      <c r="H17" s="168">
        <v>0</v>
      </c>
    </row>
    <row r="18" spans="1:8" ht="15.75" x14ac:dyDescent="0.25">
      <c r="A18" s="10" t="s">
        <v>62</v>
      </c>
      <c r="B18" s="10"/>
      <c r="C18" s="10"/>
      <c r="D18" s="10"/>
      <c r="E18" s="10"/>
      <c r="F18" s="10"/>
      <c r="G18" s="10"/>
      <c r="H18" s="168">
        <v>0</v>
      </c>
    </row>
    <row r="19" spans="1:8" ht="15.75" x14ac:dyDescent="0.25">
      <c r="A19" s="10" t="s">
        <v>186</v>
      </c>
      <c r="B19" s="10"/>
      <c r="C19" s="10"/>
      <c r="D19" s="10"/>
      <c r="E19" s="10"/>
      <c r="F19" s="10"/>
      <c r="G19" s="10"/>
      <c r="H19" s="168">
        <v>0</v>
      </c>
    </row>
    <row r="20" spans="1:8" ht="15.75" x14ac:dyDescent="0.25">
      <c r="A20" s="10"/>
      <c r="B20" s="10"/>
      <c r="C20" s="10"/>
      <c r="D20" s="10"/>
      <c r="E20" s="10"/>
      <c r="F20" s="10"/>
      <c r="G20" s="10"/>
      <c r="H20" s="165"/>
    </row>
    <row r="21" spans="1:8" ht="15.75" x14ac:dyDescent="0.25">
      <c r="A21" s="17" t="s">
        <v>19</v>
      </c>
      <c r="B21" s="17"/>
      <c r="C21" s="17"/>
      <c r="D21" s="17"/>
      <c r="E21" s="17"/>
      <c r="F21" s="17"/>
      <c r="G21" s="17"/>
      <c r="H21" s="175">
        <f>SUM(H16:H20)</f>
        <v>0</v>
      </c>
    </row>
    <row r="22" spans="1:8" ht="15.75" x14ac:dyDescent="0.25">
      <c r="A22" s="10"/>
      <c r="B22" s="10"/>
      <c r="C22" s="10"/>
      <c r="D22" s="10"/>
      <c r="E22" s="10"/>
      <c r="F22" s="10"/>
      <c r="G22" s="10"/>
      <c r="H22" s="176"/>
    </row>
    <row r="23" spans="1:8" ht="15.75" x14ac:dyDescent="0.25">
      <c r="A23" s="17" t="s">
        <v>54</v>
      </c>
      <c r="B23" s="17"/>
      <c r="C23" s="17"/>
      <c r="D23" s="17"/>
      <c r="E23" s="17"/>
      <c r="F23" s="17"/>
      <c r="G23" s="17"/>
      <c r="H23" s="177">
        <v>0</v>
      </c>
    </row>
    <row r="24" spans="1:8" ht="15.75" x14ac:dyDescent="0.25">
      <c r="A24" s="10"/>
      <c r="B24" s="10"/>
      <c r="C24" s="10"/>
      <c r="D24" s="10"/>
      <c r="E24" s="10"/>
      <c r="F24" s="10"/>
      <c r="G24" s="10"/>
      <c r="H24" s="176"/>
    </row>
    <row r="25" spans="1:8" ht="16.5" thickBot="1" x14ac:dyDescent="0.3">
      <c r="A25" s="22" t="s">
        <v>187</v>
      </c>
      <c r="B25" s="22"/>
      <c r="C25" s="22"/>
      <c r="D25" s="22"/>
      <c r="E25" s="22"/>
      <c r="F25" s="22"/>
      <c r="G25" s="22"/>
      <c r="H25" s="102">
        <f>SUM(H14,H21,H23)</f>
        <v>81548.5</v>
      </c>
    </row>
    <row r="26" spans="1:8" ht="16.5" thickTop="1" x14ac:dyDescent="0.25">
      <c r="A26" s="10"/>
      <c r="B26" s="10"/>
      <c r="C26" s="10"/>
      <c r="D26" s="10"/>
      <c r="E26" s="10"/>
      <c r="F26" s="10"/>
      <c r="G26" s="10"/>
      <c r="H26" s="90"/>
    </row>
    <row r="27" spans="1:8" ht="15.75" x14ac:dyDescent="0.25">
      <c r="A27" s="9" t="s">
        <v>188</v>
      </c>
      <c r="B27" s="10"/>
      <c r="C27" s="10"/>
      <c r="D27" s="10"/>
      <c r="E27" s="10"/>
      <c r="F27" s="10"/>
      <c r="G27" s="10"/>
      <c r="H27" s="90"/>
    </row>
    <row r="28" spans="1:8" ht="15.75" x14ac:dyDescent="0.25">
      <c r="A28" s="10" t="s">
        <v>189</v>
      </c>
      <c r="B28" s="10"/>
      <c r="C28" s="10"/>
      <c r="D28" s="10"/>
      <c r="E28" s="10"/>
      <c r="F28" s="10"/>
      <c r="G28" s="10"/>
      <c r="H28" s="90">
        <v>1100000</v>
      </c>
    </row>
    <row r="29" spans="1:8" ht="15.75" x14ac:dyDescent="0.25">
      <c r="A29" s="10" t="s">
        <v>186</v>
      </c>
      <c r="B29" s="10"/>
      <c r="C29" s="10"/>
      <c r="D29" s="10"/>
      <c r="E29" s="10"/>
      <c r="F29" s="10"/>
      <c r="G29" s="10"/>
      <c r="H29" s="90">
        <v>-55000</v>
      </c>
    </row>
    <row r="30" spans="1:8" ht="15.75" x14ac:dyDescent="0.25">
      <c r="A30" s="10" t="s">
        <v>190</v>
      </c>
      <c r="B30" s="10"/>
      <c r="C30" s="10"/>
      <c r="D30" s="10"/>
      <c r="E30" s="10"/>
      <c r="F30" s="10"/>
      <c r="G30" s="10"/>
      <c r="H30" s="90">
        <v>-200000</v>
      </c>
    </row>
    <row r="31" spans="1:8" ht="16.5" thickBot="1" x14ac:dyDescent="0.3">
      <c r="A31" s="166" t="s">
        <v>191</v>
      </c>
      <c r="B31" s="166"/>
      <c r="C31" s="166"/>
      <c r="D31" s="166"/>
      <c r="E31" s="166"/>
      <c r="F31" s="166"/>
      <c r="G31" s="166"/>
      <c r="H31" s="102">
        <f>SUM(H28:H30)</f>
        <v>845000</v>
      </c>
    </row>
    <row r="32" spans="1:8" ht="16.5" thickTop="1" x14ac:dyDescent="0.25">
      <c r="A32" s="167"/>
      <c r="B32" s="167"/>
      <c r="C32" s="167"/>
      <c r="D32" s="167"/>
      <c r="E32" s="167"/>
      <c r="F32" s="167"/>
      <c r="G32" s="167"/>
      <c r="H32" s="178"/>
    </row>
    <row r="33" spans="1:8" ht="16.5" thickBot="1" x14ac:dyDescent="0.3">
      <c r="A33" s="23" t="s">
        <v>192</v>
      </c>
      <c r="B33" s="23"/>
      <c r="C33" s="24"/>
      <c r="D33" s="24"/>
      <c r="E33" s="24"/>
      <c r="F33" s="24"/>
      <c r="G33" s="24"/>
      <c r="H33" s="179">
        <f>H25/H31</f>
        <v>9.650710059171598E-2</v>
      </c>
    </row>
    <row r="34" spans="1:8" ht="15.75" x14ac:dyDescent="0.25">
      <c r="A34" s="9" t="s">
        <v>193</v>
      </c>
      <c r="H34" s="180">
        <f>H33*(1+C5)</f>
        <v>0.12526621656804734</v>
      </c>
    </row>
  </sheetData>
  <mergeCells count="2">
    <mergeCell ref="B2:E2"/>
    <mergeCell ref="C4:E4"/>
  </mergeCells>
  <pageMargins left="0.7" right="0.7" top="0.75" bottom="0.75" header="0.3" footer="0.3"/>
  <pageSetup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00"/>
  <sheetViews>
    <sheetView zoomScaleNormal="100" zoomScaleSheetLayoutView="100" workbookViewId="0">
      <selection activeCell="F60" sqref="F60"/>
    </sheetView>
  </sheetViews>
  <sheetFormatPr defaultColWidth="8.85546875" defaultRowHeight="12.75" x14ac:dyDescent="0.2"/>
  <cols>
    <col min="1" max="1" width="33.7109375" customWidth="1"/>
    <col min="2" max="2" width="30" customWidth="1"/>
    <col min="3" max="4" width="13.42578125" customWidth="1"/>
    <col min="5" max="5" width="15.28515625" customWidth="1"/>
  </cols>
  <sheetData>
    <row r="1" spans="1:10" ht="15.75" x14ac:dyDescent="0.2">
      <c r="A1" s="196" t="s">
        <v>152</v>
      </c>
      <c r="B1" s="196"/>
      <c r="C1" s="196"/>
      <c r="D1" s="196"/>
      <c r="E1" s="196"/>
      <c r="F1" s="196"/>
      <c r="G1" s="196"/>
      <c r="H1" s="196"/>
      <c r="I1" s="196"/>
    </row>
    <row r="2" spans="1:10" ht="15.75" x14ac:dyDescent="0.25">
      <c r="J2" s="115" t="s">
        <v>164</v>
      </c>
    </row>
    <row r="3" spans="1:10" ht="15.75" x14ac:dyDescent="0.25">
      <c r="A3" s="9" t="s">
        <v>184</v>
      </c>
      <c r="B3" s="195" t="str">
        <f>IF('Per Unit Rate Calculations'!B3:E3="","",'Per Unit Rate Calculations'!B3:E3)</f>
        <v>Peter's Test Lab</v>
      </c>
      <c r="C3" s="195"/>
      <c r="D3" s="195"/>
      <c r="E3" s="195"/>
      <c r="F3" s="9"/>
      <c r="J3" s="70" t="s">
        <v>78</v>
      </c>
    </row>
    <row r="4" spans="1:10" ht="15.75" x14ac:dyDescent="0.25">
      <c r="A4" s="1" t="s">
        <v>178</v>
      </c>
      <c r="B4" s="134" t="str">
        <f>IF('Per Unit Rate Calculations'!B4="","",'Per Unit Rate Calculations'!B4)</f>
        <v>20xx-xx</v>
      </c>
      <c r="C4" s="119"/>
      <c r="D4" s="119"/>
      <c r="E4" s="119"/>
      <c r="F4" s="119"/>
      <c r="J4" s="70"/>
    </row>
    <row r="5" spans="1:10" ht="15.75" x14ac:dyDescent="0.25">
      <c r="A5" s="1" t="s">
        <v>32</v>
      </c>
      <c r="B5" s="1"/>
      <c r="J5" s="70" t="s">
        <v>120</v>
      </c>
    </row>
    <row r="6" spans="1:10" ht="15.75" x14ac:dyDescent="0.25">
      <c r="J6" s="70" t="s">
        <v>79</v>
      </c>
    </row>
    <row r="7" spans="1:10" ht="15.75" x14ac:dyDescent="0.25">
      <c r="A7" s="25" t="s">
        <v>22</v>
      </c>
      <c r="B7" s="25"/>
      <c r="C7" s="25"/>
      <c r="D7" s="25"/>
      <c r="E7" s="10"/>
      <c r="J7" s="70" t="s">
        <v>145</v>
      </c>
    </row>
    <row r="8" spans="1:10" ht="15.75" x14ac:dyDescent="0.25">
      <c r="A8" s="10"/>
      <c r="B8" s="10"/>
      <c r="C8" s="197" t="s">
        <v>31</v>
      </c>
      <c r="D8" s="198"/>
      <c r="E8" s="198"/>
      <c r="F8" s="203"/>
      <c r="J8" s="70" t="s">
        <v>144</v>
      </c>
    </row>
    <row r="9" spans="1:10" ht="31.5" x14ac:dyDescent="0.25">
      <c r="A9" s="26"/>
      <c r="B9" s="27"/>
      <c r="C9" s="28" t="str">
        <f>'Per Unit Rate Calculations'!C5</f>
        <v>Per Unit - Gizmo</v>
      </c>
      <c r="D9" s="28" t="s">
        <v>163</v>
      </c>
      <c r="E9" s="28" t="str">
        <f>'Per Hour Rate Calculations'!C5</f>
        <v>Consult Fashion</v>
      </c>
      <c r="F9" s="112" t="s">
        <v>163</v>
      </c>
      <c r="J9" s="70" t="s">
        <v>121</v>
      </c>
    </row>
    <row r="10" spans="1:10" ht="15.75" x14ac:dyDescent="0.25">
      <c r="A10" s="29" t="s">
        <v>33</v>
      </c>
      <c r="B10" s="30"/>
      <c r="C10" s="57">
        <f>'Per Unit Rate Calculations'!H32*D10</f>
        <v>1600</v>
      </c>
      <c r="D10" s="111">
        <f>'Per Unit Rate Calculations'!H35</f>
        <v>0.8</v>
      </c>
      <c r="E10" s="57">
        <f>'Per Hour Rate Calculations'!H32*F10</f>
        <v>1470.204</v>
      </c>
      <c r="F10" s="113">
        <f>'Per Hour Rate Calculations'!H35</f>
        <v>0.9</v>
      </c>
      <c r="G10" s="68"/>
      <c r="J10" s="70" t="s">
        <v>122</v>
      </c>
    </row>
    <row r="11" spans="1:10" ht="15.75" x14ac:dyDescent="0.25">
      <c r="A11" s="29" t="s">
        <v>34</v>
      </c>
      <c r="B11" s="30"/>
      <c r="C11" s="57">
        <f>'Per Unit Rate Calculations'!H32*D11</f>
        <v>399.99999999999989</v>
      </c>
      <c r="D11" s="111">
        <f>'Per Unit Rate Calculations'!H37</f>
        <v>0.19999999999999996</v>
      </c>
      <c r="E11" s="57">
        <f>'Per Hour Rate Calculations'!H32*F11</f>
        <v>163.35599999999997</v>
      </c>
      <c r="F11" s="113">
        <f>'Per Hour Rate Calculations'!H37</f>
        <v>9.9999999999999978E-2</v>
      </c>
      <c r="G11" s="4"/>
      <c r="J11" s="70" t="s">
        <v>123</v>
      </c>
    </row>
    <row r="12" spans="1:10" ht="15.75" x14ac:dyDescent="0.25">
      <c r="A12" s="31" t="s">
        <v>44</v>
      </c>
      <c r="B12" s="32"/>
      <c r="C12" s="33">
        <f>'Per Unit Rate Calculations'!H34</f>
        <v>14.53068</v>
      </c>
      <c r="D12" s="33"/>
      <c r="E12" s="33">
        <f>'Per Hour Rate Calculations'!H34</f>
        <v>37.011190283797355</v>
      </c>
      <c r="F12" s="114"/>
      <c r="G12" s="68"/>
      <c r="J12" s="70" t="s">
        <v>124</v>
      </c>
    </row>
    <row r="13" spans="1:10" ht="15.75" x14ac:dyDescent="0.25">
      <c r="A13" s="29" t="s">
        <v>45</v>
      </c>
      <c r="B13" s="26"/>
      <c r="C13" s="33">
        <f>'Per Unit Rate Calculations'!H36</f>
        <v>25.350822640000001</v>
      </c>
      <c r="D13" s="33"/>
      <c r="E13" s="33">
        <f>'Per Hour Rate Calculations'!H36</f>
        <v>54.397193858811427</v>
      </c>
      <c r="F13" s="114"/>
      <c r="G13" s="4"/>
      <c r="J13" s="70" t="s">
        <v>125</v>
      </c>
    </row>
    <row r="14" spans="1:10" ht="15.75" x14ac:dyDescent="0.25">
      <c r="A14" s="34" t="s">
        <v>46</v>
      </c>
      <c r="B14" s="10"/>
      <c r="C14" s="10"/>
      <c r="D14" s="10"/>
      <c r="E14" s="10"/>
      <c r="J14" s="70" t="s">
        <v>123</v>
      </c>
    </row>
    <row r="15" spans="1:10" ht="18.75" x14ac:dyDescent="0.25">
      <c r="A15" s="35" t="s">
        <v>40</v>
      </c>
      <c r="B15" s="36"/>
      <c r="C15" s="36"/>
      <c r="D15" s="36"/>
      <c r="E15" s="10"/>
      <c r="J15" s="70" t="s">
        <v>124</v>
      </c>
    </row>
    <row r="16" spans="1:10" ht="18.75" x14ac:dyDescent="0.25">
      <c r="A16" s="35"/>
      <c r="B16" s="36"/>
      <c r="C16" s="36"/>
      <c r="D16" s="36"/>
      <c r="E16" s="10"/>
      <c r="J16" s="70" t="s">
        <v>126</v>
      </c>
    </row>
    <row r="17" spans="1:10" ht="15.75" x14ac:dyDescent="0.25">
      <c r="A17" s="25" t="s">
        <v>23</v>
      </c>
      <c r="B17" s="25"/>
      <c r="C17" s="10"/>
      <c r="D17" s="10"/>
      <c r="E17" s="10"/>
      <c r="J17" s="70" t="s">
        <v>127</v>
      </c>
    </row>
    <row r="18" spans="1:10" ht="15.75" x14ac:dyDescent="0.25">
      <c r="A18" s="37"/>
      <c r="B18" s="13"/>
      <c r="C18" s="38"/>
      <c r="D18" s="38"/>
      <c r="E18" s="13"/>
      <c r="F18" s="2"/>
      <c r="G18" s="2"/>
      <c r="J18" s="70" t="s">
        <v>128</v>
      </c>
    </row>
    <row r="19" spans="1:10" ht="15.75" x14ac:dyDescent="0.25">
      <c r="A19" s="39"/>
      <c r="B19" s="40"/>
      <c r="C19" s="197" t="s">
        <v>31</v>
      </c>
      <c r="D19" s="198"/>
      <c r="E19" s="39"/>
      <c r="F19" s="2"/>
      <c r="G19" s="2"/>
      <c r="J19" s="70" t="s">
        <v>119</v>
      </c>
    </row>
    <row r="20" spans="1:10" ht="31.5" x14ac:dyDescent="0.25">
      <c r="A20" s="41" t="s">
        <v>24</v>
      </c>
      <c r="B20" s="42" t="s">
        <v>25</v>
      </c>
      <c r="C20" s="28" t="str">
        <f>C9</f>
        <v>Per Unit - Gizmo</v>
      </c>
      <c r="D20" s="28" t="str">
        <f>E9</f>
        <v>Consult Fashion</v>
      </c>
      <c r="E20" s="41" t="s">
        <v>0</v>
      </c>
      <c r="F20" s="2"/>
      <c r="G20" s="2"/>
      <c r="J20" s="70" t="s">
        <v>129</v>
      </c>
    </row>
    <row r="21" spans="1:10" ht="15.75" x14ac:dyDescent="0.25">
      <c r="A21" s="43" t="str">
        <f>'Per Unit Rate Calculations'!A11</f>
        <v>Name</v>
      </c>
      <c r="B21" s="44" t="str">
        <f>'Per Unit Rate Calculations'!B11</f>
        <v>Title (e.g. Director)</v>
      </c>
      <c r="C21" s="45">
        <f>'Per Unit Rate Calculations'!C11</f>
        <v>0.05</v>
      </c>
      <c r="D21" s="45">
        <f>'Per Hour Rate Calculations'!C11</f>
        <v>0.05</v>
      </c>
      <c r="E21" s="45">
        <f>SUM(C21:D21)</f>
        <v>0.1</v>
      </c>
      <c r="F21" s="68"/>
      <c r="G21" s="2"/>
      <c r="J21" s="70" t="s">
        <v>130</v>
      </c>
    </row>
    <row r="22" spans="1:10" ht="15.75" x14ac:dyDescent="0.25">
      <c r="A22" s="43" t="str">
        <f>'Per Unit Rate Calculations'!A12</f>
        <v>Name</v>
      </c>
      <c r="B22" s="44" t="str">
        <f>'Per Unit Rate Calculations'!B12</f>
        <v>Title (e.g. SRA)</v>
      </c>
      <c r="C22" s="45">
        <f>'Per Unit Rate Calculations'!C12</f>
        <v>0.15</v>
      </c>
      <c r="D22" s="45">
        <f>'Per Hour Rate Calculations'!C12</f>
        <v>0</v>
      </c>
      <c r="E22" s="45">
        <f>SUM(C22:D22)</f>
        <v>0.15</v>
      </c>
      <c r="F22" s="73"/>
      <c r="J22" s="70" t="s">
        <v>131</v>
      </c>
    </row>
    <row r="23" spans="1:10" ht="15.75" x14ac:dyDescent="0.25">
      <c r="A23" s="43" t="str">
        <f>'Per Unit Rate Calculations'!A13</f>
        <v>Name</v>
      </c>
      <c r="B23" s="44" t="str">
        <f>'Per Unit Rate Calculations'!B13</f>
        <v>Title (e.g. Stdnt Asst*)</v>
      </c>
      <c r="C23" s="45">
        <f>'Per Unit Rate Calculations'!C13</f>
        <v>0.25</v>
      </c>
      <c r="D23" s="45">
        <f>'Per Hour Rate Calculations'!C13</f>
        <v>0.5</v>
      </c>
      <c r="E23" s="45">
        <f>SUM(C23:D23)</f>
        <v>0.75</v>
      </c>
      <c r="J23" s="70" t="s">
        <v>132</v>
      </c>
    </row>
    <row r="24" spans="1:10" ht="15.75" x14ac:dyDescent="0.25">
      <c r="A24" s="43" t="str">
        <f>'Per Unit Rate Calculations'!A14</f>
        <v>Name</v>
      </c>
      <c r="B24" s="44">
        <f>'Per Unit Rate Calculations'!B14</f>
        <v>0</v>
      </c>
      <c r="C24" s="45">
        <f>'Per Unit Rate Calculations'!C14</f>
        <v>0</v>
      </c>
      <c r="D24" s="45">
        <f>'Per Hour Rate Calculations'!C14</f>
        <v>0.5</v>
      </c>
      <c r="E24" s="45">
        <f>SUM(C24:D24)</f>
        <v>0.5</v>
      </c>
      <c r="J24" s="70" t="s">
        <v>133</v>
      </c>
    </row>
    <row r="25" spans="1:10" ht="15.75" x14ac:dyDescent="0.25">
      <c r="A25" s="10"/>
      <c r="B25" s="10"/>
      <c r="C25" s="10"/>
      <c r="D25" s="10"/>
      <c r="E25" s="10"/>
      <c r="J25" s="70" t="s">
        <v>134</v>
      </c>
    </row>
    <row r="26" spans="1:10" ht="15.75" x14ac:dyDescent="0.25">
      <c r="A26" s="25" t="s">
        <v>21</v>
      </c>
      <c r="B26" s="10"/>
      <c r="C26" s="10"/>
      <c r="D26" s="10"/>
      <c r="E26" s="10"/>
      <c r="J26" s="70" t="s">
        <v>135</v>
      </c>
    </row>
    <row r="27" spans="1:10" ht="15.75" x14ac:dyDescent="0.25">
      <c r="A27" s="26"/>
      <c r="B27" s="10"/>
      <c r="C27" s="10"/>
      <c r="D27" s="10"/>
      <c r="E27" s="10"/>
      <c r="J27" s="70" t="s">
        <v>158</v>
      </c>
    </row>
    <row r="28" spans="1:10" ht="15.75" x14ac:dyDescent="0.25">
      <c r="A28" s="46"/>
      <c r="B28" s="47"/>
      <c r="C28" s="201" t="s">
        <v>31</v>
      </c>
      <c r="D28" s="202"/>
      <c r="E28" s="59"/>
      <c r="J28" s="70" t="s">
        <v>143</v>
      </c>
    </row>
    <row r="29" spans="1:10" ht="31.5" x14ac:dyDescent="0.25">
      <c r="A29" s="48"/>
      <c r="B29" s="25"/>
      <c r="C29" s="28" t="str">
        <f>C9</f>
        <v>Per Unit - Gizmo</v>
      </c>
      <c r="D29" s="28" t="str">
        <f>E9</f>
        <v>Consult Fashion</v>
      </c>
      <c r="E29" s="28" t="s">
        <v>0</v>
      </c>
      <c r="J29" s="70" t="s">
        <v>136</v>
      </c>
    </row>
    <row r="30" spans="1:10" ht="15.75" x14ac:dyDescent="0.25">
      <c r="A30" s="49" t="s">
        <v>43</v>
      </c>
      <c r="B30" s="25"/>
      <c r="C30" s="50"/>
      <c r="D30" s="50"/>
      <c r="E30" s="51"/>
      <c r="F30" s="5"/>
      <c r="G30" s="5"/>
      <c r="J30" s="70" t="s">
        <v>137</v>
      </c>
    </row>
    <row r="31" spans="1:10" ht="15.75" x14ac:dyDescent="0.25">
      <c r="A31" s="52" t="s">
        <v>41</v>
      </c>
      <c r="B31" s="10"/>
      <c r="C31" s="74">
        <f>C10*C12</f>
        <v>23249.088</v>
      </c>
      <c r="D31" s="74">
        <f>E10*E12</f>
        <v>54414.000000000007</v>
      </c>
      <c r="E31" s="75">
        <f>SUM(C31:D31)</f>
        <v>77663.088000000003</v>
      </c>
      <c r="F31" s="5"/>
      <c r="G31" s="5"/>
      <c r="J31" s="70" t="s">
        <v>138</v>
      </c>
    </row>
    <row r="32" spans="1:10" ht="15.75" x14ac:dyDescent="0.25">
      <c r="A32" s="52" t="s">
        <v>35</v>
      </c>
      <c r="B32" s="10"/>
      <c r="C32" s="76">
        <f>C11*C13</f>
        <v>10140.329055999997</v>
      </c>
      <c r="D32" s="76">
        <f>E11*E13</f>
        <v>8886.1079999999984</v>
      </c>
      <c r="E32" s="77">
        <f>SUM(C32:D32)</f>
        <v>19026.437055999995</v>
      </c>
      <c r="F32" s="5"/>
      <c r="G32" s="5"/>
      <c r="J32" s="70" t="s">
        <v>139</v>
      </c>
    </row>
    <row r="33" spans="1:10" ht="15.75" x14ac:dyDescent="0.25">
      <c r="A33" s="60" t="s">
        <v>42</v>
      </c>
      <c r="B33" s="59"/>
      <c r="C33" s="78">
        <f>SUM(C31:C32)</f>
        <v>33389.417055999998</v>
      </c>
      <c r="D33" s="78">
        <f>SUM(D31:D32)</f>
        <v>63300.108000000007</v>
      </c>
      <c r="E33" s="78">
        <f>SUM(E31:E32)</f>
        <v>96689.525055999999</v>
      </c>
      <c r="F33" s="5"/>
      <c r="G33" s="5"/>
      <c r="J33" s="70" t="s">
        <v>140</v>
      </c>
    </row>
    <row r="34" spans="1:10" ht="15.75" x14ac:dyDescent="0.25">
      <c r="A34" s="48"/>
      <c r="B34" s="25"/>
      <c r="C34" s="79"/>
      <c r="D34" s="79"/>
      <c r="E34" s="75"/>
      <c r="F34" s="5"/>
      <c r="G34" s="5"/>
      <c r="J34" s="70" t="s">
        <v>153</v>
      </c>
    </row>
    <row r="35" spans="1:10" ht="15.75" x14ac:dyDescent="0.25">
      <c r="A35" s="49" t="s">
        <v>26</v>
      </c>
      <c r="B35" s="9"/>
      <c r="C35" s="80"/>
      <c r="D35" s="80"/>
      <c r="E35" s="75"/>
      <c r="F35" s="5"/>
      <c r="G35" s="5"/>
      <c r="J35" s="70" t="s">
        <v>154</v>
      </c>
    </row>
    <row r="36" spans="1:10" ht="15.75" x14ac:dyDescent="0.25">
      <c r="A36" s="52" t="str">
        <f>'Per Unit Rate Calculations'!A11</f>
        <v>Name</v>
      </c>
      <c r="B36" s="10" t="str">
        <f>'Per Unit Rate Calculations'!B11</f>
        <v>Title (e.g. Director)</v>
      </c>
      <c r="C36" s="74">
        <f>'Per Unit Rate Calculations'!H11</f>
        <v>6161</v>
      </c>
      <c r="D36" s="81">
        <f>'Per Hour Rate Calculations'!H11</f>
        <v>5185</v>
      </c>
      <c r="E36" s="81">
        <f>SUM(C36:D36)</f>
        <v>11346</v>
      </c>
      <c r="F36" s="5"/>
      <c r="G36" s="5"/>
      <c r="J36" s="70" t="s">
        <v>159</v>
      </c>
    </row>
    <row r="37" spans="1:10" ht="15.75" x14ac:dyDescent="0.25">
      <c r="A37" s="52" t="str">
        <f>'Per Unit Rate Calculations'!A12</f>
        <v>Name</v>
      </c>
      <c r="B37" s="10" t="str">
        <f>'Per Unit Rate Calculations'!B12</f>
        <v>Title (e.g. SRA)</v>
      </c>
      <c r="C37" s="74">
        <f>'Per Unit Rate Calculations'!H12</f>
        <v>13387.5</v>
      </c>
      <c r="D37" s="82">
        <f>'Per Hour Rate Calculations'!H12</f>
        <v>0</v>
      </c>
      <c r="E37" s="82">
        <f>SUM(C37:D37)</f>
        <v>13387.5</v>
      </c>
      <c r="F37" s="5"/>
      <c r="G37" s="5"/>
      <c r="J37" s="70" t="s">
        <v>141</v>
      </c>
    </row>
    <row r="38" spans="1:10" ht="15.75" x14ac:dyDescent="0.25">
      <c r="A38" s="52" t="str">
        <f>'Per Unit Rate Calculations'!A13</f>
        <v>Name</v>
      </c>
      <c r="B38" s="10" t="str">
        <f>'Per Unit Rate Calculations'!B13</f>
        <v>Title (e.g. Stdnt Asst*)</v>
      </c>
      <c r="C38" s="82">
        <f>'Per Unit Rate Calculations'!H13</f>
        <v>5287.86</v>
      </c>
      <c r="D38" s="81">
        <f>'Per Hour Rate Calculations'!H13</f>
        <v>30750</v>
      </c>
      <c r="E38" s="81">
        <f>SUM(C38:D38)</f>
        <v>36037.86</v>
      </c>
      <c r="F38" s="5"/>
      <c r="G38" s="5"/>
      <c r="J38" s="70" t="s">
        <v>142</v>
      </c>
    </row>
    <row r="39" spans="1:10" ht="15.75" x14ac:dyDescent="0.25">
      <c r="A39" s="52" t="str">
        <f>'Per Unit Rate Calculations'!A14</f>
        <v>Name</v>
      </c>
      <c r="B39" s="10">
        <f>'Per Unit Rate Calculations'!B14</f>
        <v>0</v>
      </c>
      <c r="C39" s="82">
        <f>'Per Unit Rate Calculations'!H14</f>
        <v>0</v>
      </c>
      <c r="D39" s="81">
        <f>'Per Hour Rate Calculations'!H14</f>
        <v>31250</v>
      </c>
      <c r="E39" s="81">
        <f>SUM(C39:D39)</f>
        <v>31250</v>
      </c>
      <c r="F39" s="5"/>
      <c r="G39" s="5"/>
      <c r="J39" s="70" t="s">
        <v>146</v>
      </c>
    </row>
    <row r="40" spans="1:10" ht="15.75" x14ac:dyDescent="0.25">
      <c r="A40" s="6"/>
      <c r="B40" s="5"/>
      <c r="C40" s="78">
        <f>SUM(C36:C39)</f>
        <v>24836.36</v>
      </c>
      <c r="D40" s="78">
        <f>SUM(D36:D39)</f>
        <v>67185</v>
      </c>
      <c r="E40" s="83">
        <f>SUM(C40:D40)</f>
        <v>92021.36</v>
      </c>
      <c r="F40" s="5"/>
      <c r="G40" s="5"/>
      <c r="J40" s="70" t="s">
        <v>148</v>
      </c>
    </row>
    <row r="41" spans="1:10" ht="15.75" x14ac:dyDescent="0.25">
      <c r="A41" s="55"/>
      <c r="B41" s="54"/>
      <c r="C41" s="84"/>
      <c r="D41" s="84"/>
      <c r="E41" s="85"/>
      <c r="F41" s="6"/>
      <c r="G41" s="5"/>
      <c r="J41" s="70" t="s">
        <v>147</v>
      </c>
    </row>
    <row r="42" spans="1:10" ht="15.75" x14ac:dyDescent="0.25">
      <c r="A42" s="56" t="s">
        <v>27</v>
      </c>
      <c r="B42" s="9"/>
      <c r="C42" s="80"/>
      <c r="D42" s="80"/>
      <c r="E42" s="75"/>
      <c r="F42" s="6"/>
      <c r="G42" s="5"/>
      <c r="J42" s="70" t="s">
        <v>155</v>
      </c>
    </row>
    <row r="43" spans="1:10" ht="15.75" x14ac:dyDescent="0.25">
      <c r="A43" s="63" t="str">
        <f>'Per Unit Rate Calculations'!A17</f>
        <v>Office Supplies</v>
      </c>
      <c r="B43" s="64"/>
      <c r="C43" s="74">
        <f>'Per Unit Rate Calculations'!H17</f>
        <v>225</v>
      </c>
      <c r="D43" s="74">
        <f>'Per Hour Rate Calculations'!H17</f>
        <v>525</v>
      </c>
      <c r="E43" s="74">
        <f>SUM(C43:D43)</f>
        <v>750</v>
      </c>
      <c r="F43" s="68"/>
      <c r="G43" s="68"/>
    </row>
    <row r="44" spans="1:10" ht="15.75" x14ac:dyDescent="0.25">
      <c r="A44" s="63" t="str">
        <f>'Per Unit Rate Calculations'!A18</f>
        <v>Lab Supplies</v>
      </c>
      <c r="B44" s="64"/>
      <c r="C44" s="74">
        <f>'Per Unit Rate Calculations'!H18</f>
        <v>2500</v>
      </c>
      <c r="D44" s="74">
        <v>0</v>
      </c>
      <c r="E44" s="74">
        <f>SUM(C44:D44)</f>
        <v>2500</v>
      </c>
      <c r="F44" s="68"/>
      <c r="G44" s="68"/>
    </row>
    <row r="45" spans="1:10" ht="15.75" x14ac:dyDescent="0.25">
      <c r="A45" s="63" t="str">
        <f>'Per Unit Rate Calculations'!A19</f>
        <v>Equipment Depreciation</v>
      </c>
      <c r="B45" s="64"/>
      <c r="C45" s="74">
        <f>'Per Unit Rate Calculations'!H19</f>
        <v>12500</v>
      </c>
      <c r="D45" s="74">
        <v>0</v>
      </c>
      <c r="E45" s="74">
        <f>SUM(C45:D45)</f>
        <v>12500</v>
      </c>
      <c r="F45" s="68"/>
      <c r="G45" s="68"/>
    </row>
    <row r="46" spans="1:10" ht="15.75" x14ac:dyDescent="0.25">
      <c r="A46" s="199"/>
      <c r="B46" s="200"/>
      <c r="C46" s="74"/>
      <c r="D46" s="74"/>
      <c r="E46" s="74"/>
      <c r="F46" s="5"/>
      <c r="G46" s="5"/>
    </row>
    <row r="47" spans="1:10" ht="15.75" x14ac:dyDescent="0.25">
      <c r="A47" s="60" t="s">
        <v>28</v>
      </c>
      <c r="B47" s="58"/>
      <c r="C47" s="83">
        <f>SUM(C43:C46)</f>
        <v>15225</v>
      </c>
      <c r="D47" s="83">
        <f>SUM(D43:D46)</f>
        <v>525</v>
      </c>
      <c r="E47" s="83">
        <f>SUM(E43:E46)</f>
        <v>15750</v>
      </c>
      <c r="F47" s="7"/>
      <c r="G47" s="5"/>
    </row>
    <row r="48" spans="1:10" ht="15.75" x14ac:dyDescent="0.25">
      <c r="A48" s="53"/>
      <c r="B48" s="54"/>
      <c r="C48" s="86"/>
      <c r="D48" s="87"/>
      <c r="E48" s="85"/>
      <c r="F48" s="7"/>
      <c r="G48" s="5"/>
    </row>
    <row r="49" spans="1:7" ht="12.95" customHeight="1" x14ac:dyDescent="0.25">
      <c r="A49" s="31" t="s">
        <v>38</v>
      </c>
      <c r="B49" s="58"/>
      <c r="C49" s="83">
        <f>'Per Unit Rate Calculations'!H23</f>
        <v>-1000</v>
      </c>
      <c r="D49" s="83">
        <f>'Per Hour Rate Calculations'!H23</f>
        <v>750</v>
      </c>
      <c r="E49" s="88">
        <f>SUM(C49:D49)</f>
        <v>-250</v>
      </c>
      <c r="F49" s="7"/>
      <c r="G49" s="5"/>
    </row>
    <row r="50" spans="1:7" ht="15.75" x14ac:dyDescent="0.25">
      <c r="A50" s="52"/>
      <c r="B50" s="10"/>
      <c r="C50" s="89"/>
      <c r="D50" s="90"/>
      <c r="E50" s="75"/>
      <c r="F50" s="5"/>
      <c r="G50" s="5"/>
    </row>
    <row r="51" spans="1:7" s="4" customFormat="1" ht="15.75" x14ac:dyDescent="0.25">
      <c r="A51" s="60" t="s">
        <v>29</v>
      </c>
      <c r="B51" s="59"/>
      <c r="C51" s="91">
        <f>C40+C47+C49</f>
        <v>39061.360000000001</v>
      </c>
      <c r="D51" s="83">
        <f>D40+D47+D49</f>
        <v>68460</v>
      </c>
      <c r="E51" s="88">
        <f>E40+E47+E49</f>
        <v>107521.36</v>
      </c>
      <c r="F51" s="5"/>
      <c r="G51" s="5"/>
    </row>
    <row r="52" spans="1:7" s="4" customFormat="1" ht="15.75" x14ac:dyDescent="0.25">
      <c r="A52" s="185"/>
      <c r="B52" s="9"/>
      <c r="C52" s="86"/>
      <c r="D52" s="87"/>
      <c r="E52" s="85"/>
      <c r="F52" s="5"/>
      <c r="G52" s="5"/>
    </row>
    <row r="53" spans="1:7" s="4" customFormat="1" ht="15.75" x14ac:dyDescent="0.25">
      <c r="A53" s="191" t="s">
        <v>195</v>
      </c>
      <c r="B53" s="187" t="str">
        <f>'Per Unit Rate Calculations'!B27 &amp;" / "&amp; 'Per Hour Rate Calculations'!B27</f>
        <v>GF11111 / GF11111</v>
      </c>
      <c r="C53" s="188">
        <f>'Per Unit Rate Calculations'!H27</f>
        <v>10000</v>
      </c>
      <c r="D53" s="189">
        <f>'Per Hour Rate Calculations'!H27</f>
        <v>8000</v>
      </c>
      <c r="E53" s="190">
        <f>C53+D53</f>
        <v>18000</v>
      </c>
      <c r="F53" s="5"/>
      <c r="G53" s="5"/>
    </row>
    <row r="54" spans="1:7" s="4" customFormat="1" ht="15.75" x14ac:dyDescent="0.25">
      <c r="A54" s="10" t="s">
        <v>194</v>
      </c>
      <c r="B54" s="9"/>
      <c r="C54" s="92">
        <f>C51-C53</f>
        <v>29061.360000000001</v>
      </c>
      <c r="D54" s="92">
        <f>D51-D53</f>
        <v>60460</v>
      </c>
      <c r="E54" s="85">
        <f>C54+D54</f>
        <v>89521.36</v>
      </c>
      <c r="F54" s="5"/>
      <c r="G54" s="5"/>
    </row>
    <row r="55" spans="1:7" s="4" customFormat="1" ht="16.5" thickBot="1" x14ac:dyDescent="0.3">
      <c r="A55" s="186"/>
      <c r="B55" s="9"/>
      <c r="C55" s="92"/>
      <c r="D55" s="93"/>
      <c r="E55" s="85"/>
      <c r="F55" s="5"/>
      <c r="G55" s="5"/>
    </row>
    <row r="56" spans="1:7" s="4" customFormat="1" ht="16.5" thickTop="1" x14ac:dyDescent="0.25">
      <c r="A56" s="31" t="s">
        <v>36</v>
      </c>
      <c r="B56" s="59"/>
      <c r="C56" s="92">
        <f>C32/(1+'Per Unit Rate Calculations'!C6)*'Per Unit Rate Calculations'!C6</f>
        <v>2328.0570559999992</v>
      </c>
      <c r="D56" s="92">
        <f>D32/(1+'Per Unit Rate Calculations'!C6)*'Per Unit Rate Calculations'!C6</f>
        <v>2040.1079999999993</v>
      </c>
      <c r="E56" s="83">
        <f>C56+D56</f>
        <v>4368.165055999998</v>
      </c>
      <c r="F56" s="5"/>
      <c r="G56" s="5"/>
    </row>
    <row r="57" spans="1:7" s="4" customFormat="1" ht="15.75" x14ac:dyDescent="0.25">
      <c r="A57" s="52"/>
      <c r="B57" s="51"/>
      <c r="C57" s="94"/>
      <c r="D57" s="95"/>
      <c r="E57" s="75"/>
      <c r="F57" s="5"/>
      <c r="G57" s="5"/>
    </row>
    <row r="58" spans="1:7" ht="16.5" thickBot="1" x14ac:dyDescent="0.3">
      <c r="A58" s="61" t="s">
        <v>30</v>
      </c>
      <c r="B58" s="62"/>
      <c r="C58" s="96">
        <f>C33-C51-C56-C53*D11+C53</f>
        <v>0</v>
      </c>
      <c r="D58" s="96">
        <f>D33-D51-D56-D53*F11+D53</f>
        <v>8.1854523159563541E-12</v>
      </c>
      <c r="E58" s="96">
        <f>C58+D58</f>
        <v>8.1854523159563541E-12</v>
      </c>
      <c r="F58" s="6"/>
      <c r="G58" s="5"/>
    </row>
    <row r="59" spans="1:7" ht="16.5" thickTop="1" x14ac:dyDescent="0.25">
      <c r="A59" s="10"/>
      <c r="B59" s="10"/>
      <c r="C59" s="10"/>
      <c r="D59" s="10"/>
      <c r="E59" s="10"/>
      <c r="F59" s="5"/>
      <c r="G59" s="5"/>
    </row>
    <row r="62" spans="1:7" s="2" customFormat="1" x14ac:dyDescent="0.2">
      <c r="A62"/>
      <c r="B62"/>
      <c r="C62"/>
      <c r="D62"/>
      <c r="E62"/>
      <c r="F62"/>
      <c r="G62"/>
    </row>
    <row r="63" spans="1:7" s="2" customFormat="1" ht="12.95" customHeight="1" x14ac:dyDescent="0.2">
      <c r="A63"/>
      <c r="B63"/>
      <c r="C63"/>
      <c r="D63"/>
      <c r="E63"/>
      <c r="F63"/>
      <c r="G63"/>
    </row>
    <row r="64" spans="1:7" s="2" customFormat="1" x14ac:dyDescent="0.2">
      <c r="A64"/>
      <c r="B64"/>
      <c r="C64"/>
      <c r="D64"/>
      <c r="E64"/>
      <c r="F64"/>
      <c r="G64"/>
    </row>
    <row r="65" spans="1:7" s="2" customFormat="1" x14ac:dyDescent="0.2">
      <c r="A65"/>
      <c r="B65"/>
      <c r="C65"/>
      <c r="D65"/>
      <c r="E65"/>
      <c r="F65"/>
      <c r="G65"/>
    </row>
    <row r="72" spans="1:7" ht="12.75" customHeight="1" x14ac:dyDescent="0.2"/>
    <row r="74" spans="1:7" s="5" customFormat="1" x14ac:dyDescent="0.2">
      <c r="A74"/>
      <c r="B74"/>
      <c r="C74"/>
      <c r="D74"/>
      <c r="E74"/>
      <c r="F74"/>
      <c r="G74"/>
    </row>
    <row r="75" spans="1:7" s="5" customFormat="1" x14ac:dyDescent="0.2">
      <c r="A75"/>
      <c r="B75"/>
      <c r="C75"/>
      <c r="D75"/>
      <c r="E75"/>
      <c r="F75"/>
      <c r="G75"/>
    </row>
    <row r="76" spans="1:7" s="5" customFormat="1" x14ac:dyDescent="0.2">
      <c r="A76"/>
      <c r="B76"/>
      <c r="C76"/>
      <c r="D76"/>
      <c r="E76"/>
      <c r="F76"/>
      <c r="G76"/>
    </row>
    <row r="77" spans="1:7" s="5" customFormat="1" x14ac:dyDescent="0.2">
      <c r="A77"/>
      <c r="B77"/>
      <c r="C77"/>
      <c r="D77"/>
      <c r="E77"/>
      <c r="F77"/>
      <c r="G77"/>
    </row>
    <row r="78" spans="1:7" s="5" customFormat="1" x14ac:dyDescent="0.2">
      <c r="A78"/>
      <c r="B78"/>
      <c r="C78"/>
      <c r="D78"/>
      <c r="E78"/>
      <c r="F78"/>
      <c r="G78"/>
    </row>
    <row r="79" spans="1:7" s="5" customFormat="1" x14ac:dyDescent="0.2">
      <c r="A79"/>
      <c r="B79"/>
      <c r="C79"/>
      <c r="D79"/>
      <c r="E79"/>
      <c r="F79"/>
      <c r="G79"/>
    </row>
    <row r="80" spans="1:7" s="5" customFormat="1" x14ac:dyDescent="0.2">
      <c r="A80"/>
      <c r="B80"/>
      <c r="C80"/>
      <c r="D80"/>
      <c r="E80"/>
      <c r="F80"/>
      <c r="G80"/>
    </row>
    <row r="81" spans="1:12" s="5" customFormat="1" x14ac:dyDescent="0.2">
      <c r="A81"/>
      <c r="B81"/>
      <c r="C81"/>
      <c r="D81"/>
      <c r="E81"/>
      <c r="F81"/>
      <c r="G81"/>
    </row>
    <row r="82" spans="1:12" s="5" customFormat="1" x14ac:dyDescent="0.2">
      <c r="A82"/>
      <c r="B82"/>
      <c r="C82"/>
      <c r="D82"/>
      <c r="E82"/>
      <c r="F82"/>
      <c r="G82"/>
    </row>
    <row r="83" spans="1:12" s="5" customFormat="1" x14ac:dyDescent="0.2">
      <c r="A83"/>
      <c r="B83"/>
      <c r="C83"/>
      <c r="D83"/>
      <c r="E83"/>
      <c r="F83"/>
      <c r="G83"/>
    </row>
    <row r="84" spans="1:12" s="5" customFormat="1" x14ac:dyDescent="0.2">
      <c r="A84"/>
      <c r="B84"/>
      <c r="C84"/>
      <c r="D84"/>
      <c r="E84"/>
      <c r="F84"/>
      <c r="G84"/>
    </row>
    <row r="85" spans="1:12" s="5" customFormat="1" x14ac:dyDescent="0.2">
      <c r="A85"/>
      <c r="B85"/>
      <c r="C85"/>
      <c r="D85"/>
      <c r="E85"/>
      <c r="F85"/>
      <c r="G85"/>
      <c r="H85" s="7"/>
      <c r="I85" s="7"/>
      <c r="J85" s="7"/>
    </row>
    <row r="86" spans="1:12" s="5" customFormat="1" x14ac:dyDescent="0.2">
      <c r="A86"/>
      <c r="B86"/>
      <c r="C86"/>
      <c r="D86"/>
      <c r="E86"/>
      <c r="F86"/>
      <c r="G86"/>
    </row>
    <row r="87" spans="1:12" s="5" customFormat="1" x14ac:dyDescent="0.2">
      <c r="A87"/>
      <c r="B87"/>
      <c r="C87"/>
      <c r="D87"/>
      <c r="E87"/>
      <c r="F87"/>
      <c r="G87"/>
      <c r="H87" s="68"/>
      <c r="I87" s="68"/>
      <c r="J87" s="68"/>
      <c r="L87" s="8"/>
    </row>
    <row r="88" spans="1:12" s="5" customFormat="1" x14ac:dyDescent="0.2">
      <c r="A88"/>
      <c r="B88"/>
      <c r="C88"/>
      <c r="D88"/>
      <c r="E88"/>
      <c r="F88"/>
      <c r="G88"/>
      <c r="H88" s="68"/>
      <c r="I88" s="68"/>
      <c r="J88" s="68"/>
      <c r="L88" s="8"/>
    </row>
    <row r="89" spans="1:12" s="5" customFormat="1" x14ac:dyDescent="0.2">
      <c r="A89"/>
      <c r="B89"/>
      <c r="C89"/>
      <c r="D89"/>
      <c r="E89"/>
      <c r="F89"/>
      <c r="G89"/>
      <c r="H89" s="68"/>
      <c r="I89" s="68"/>
      <c r="J89" s="68"/>
      <c r="L89" s="8"/>
    </row>
    <row r="90" spans="1:12" s="5" customFormat="1" x14ac:dyDescent="0.2">
      <c r="A90"/>
      <c r="B90"/>
      <c r="C90"/>
      <c r="D90"/>
      <c r="E90"/>
      <c r="F90"/>
      <c r="G90"/>
    </row>
    <row r="91" spans="1:12" s="5" customFormat="1" x14ac:dyDescent="0.2">
      <c r="A91"/>
      <c r="B91"/>
      <c r="C91"/>
      <c r="D91"/>
      <c r="E91"/>
      <c r="F91"/>
      <c r="G91"/>
    </row>
    <row r="92" spans="1:12" s="5" customFormat="1" x14ac:dyDescent="0.2">
      <c r="A92"/>
      <c r="B92"/>
      <c r="C92"/>
      <c r="D92"/>
      <c r="E92"/>
      <c r="F92"/>
      <c r="G92"/>
    </row>
    <row r="93" spans="1:12" s="5" customFormat="1" x14ac:dyDescent="0.2">
      <c r="A93"/>
      <c r="B93"/>
      <c r="C93"/>
      <c r="D93"/>
      <c r="E93"/>
      <c r="F93"/>
      <c r="G93"/>
    </row>
    <row r="94" spans="1:12" s="5" customFormat="1" x14ac:dyDescent="0.2">
      <c r="A94"/>
      <c r="B94"/>
      <c r="C94"/>
      <c r="D94"/>
      <c r="E94"/>
      <c r="F94"/>
      <c r="G94"/>
    </row>
    <row r="95" spans="1:12" s="5" customFormat="1" x14ac:dyDescent="0.2">
      <c r="A95"/>
      <c r="B95"/>
      <c r="C95"/>
      <c r="D95"/>
      <c r="E95"/>
      <c r="F95"/>
      <c r="G95"/>
    </row>
    <row r="96" spans="1:12" s="5" customFormat="1" x14ac:dyDescent="0.2">
      <c r="A96"/>
      <c r="B96"/>
      <c r="C96"/>
      <c r="D96"/>
      <c r="E96"/>
      <c r="F96"/>
      <c r="G96"/>
    </row>
    <row r="97" spans="1:7" s="5" customFormat="1" x14ac:dyDescent="0.2">
      <c r="A97"/>
      <c r="B97"/>
      <c r="C97"/>
      <c r="D97"/>
      <c r="E97"/>
      <c r="F97"/>
      <c r="G97"/>
    </row>
    <row r="98" spans="1:7" s="5" customFormat="1" x14ac:dyDescent="0.2">
      <c r="A98"/>
      <c r="B98"/>
      <c r="C98"/>
      <c r="D98"/>
      <c r="E98"/>
      <c r="F98"/>
      <c r="G98"/>
    </row>
    <row r="99" spans="1:7" s="5" customFormat="1" x14ac:dyDescent="0.2">
      <c r="A99"/>
      <c r="B99"/>
      <c r="C99"/>
      <c r="D99"/>
      <c r="E99"/>
      <c r="F99"/>
      <c r="G99"/>
    </row>
    <row r="100" spans="1:7" s="5" customFormat="1" x14ac:dyDescent="0.2">
      <c r="A100"/>
      <c r="B100"/>
      <c r="C100"/>
      <c r="D100"/>
      <c r="E100"/>
      <c r="F100"/>
      <c r="G100"/>
    </row>
  </sheetData>
  <mergeCells count="6">
    <mergeCell ref="A1:I1"/>
    <mergeCell ref="C19:D19"/>
    <mergeCell ref="A46:B46"/>
    <mergeCell ref="C28:D28"/>
    <mergeCell ref="C8:F8"/>
    <mergeCell ref="B3:E3"/>
  </mergeCells>
  <phoneticPr fontId="0" type="noConversion"/>
  <pageMargins left="0.5" right="0.5" top="0.5" bottom="0.5" header="0.5" footer="0.5"/>
  <pageSetup scale="6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Per Unit Rate Calculations</vt:lpstr>
      <vt:lpstr>Depreciation</vt:lpstr>
      <vt:lpstr>Per Hour Rate Calculations</vt:lpstr>
      <vt:lpstr>Mark-up</vt:lpstr>
      <vt:lpstr>Statement of Operations</vt:lpstr>
      <vt:lpstr>Depreciation!Print_Area</vt:lpstr>
      <vt:lpstr>'Mark-up'!Print_Area</vt:lpstr>
      <vt:lpstr>'Per Hour Rate Calculations'!Print_Area</vt:lpstr>
      <vt:lpstr>'Per Unit Rate Calculations'!Print_Area</vt:lpstr>
      <vt:lpstr>'Statement of Operations'!Print_Area</vt:lpstr>
      <vt:lpstr>Depreciation!Print_Titles</vt:lpstr>
    </vt:vector>
  </TitlesOfParts>
  <Company>UCSD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Ninh Nguyen</dc:creator>
  <cp:lastModifiedBy>Judy Mach</cp:lastModifiedBy>
  <cp:lastPrinted>2024-12-23T23:43:05Z</cp:lastPrinted>
  <dcterms:created xsi:type="dcterms:W3CDTF">2005-06-29T20:46:51Z</dcterms:created>
  <dcterms:modified xsi:type="dcterms:W3CDTF">2024-12-23T23:43:08Z</dcterms:modified>
</cp:coreProperties>
</file>